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Shared\Charter School Clients\ADCS 1\03. Budgets\FY 23-24\"/>
    </mc:Choice>
  </mc:AlternateContent>
  <xr:revisionPtr revIDLastSave="0" documentId="13_ncr:1_{60EEFE2F-6007-46E0-A3E4-14647B3F9717}" xr6:coauthVersionLast="47" xr6:coauthVersionMax="47" xr10:uidLastSave="{00000000-0000-0000-0000-000000000000}"/>
  <bookViews>
    <workbookView xWindow="-110" yWindow="-110" windowWidth="19420" windowHeight="11500" activeTab="1" xr2:uid="{7A21C37D-E064-4917-A935-96A9B46A67BF}"/>
  </bookViews>
  <sheets>
    <sheet name="Summary" sheetId="2" r:id="rId1"/>
    <sheet name="Details" sheetId="1" r:id="rId2"/>
    <sheet name="Salaries" sheetId="3" r:id="rId3"/>
    <sheet name="Enrollment" sheetId="5" r:id="rId4"/>
    <sheet name="Revenue" sheetId="4" r:id="rId5"/>
    <sheet name="Lease" sheetId="6" r:id="rId6"/>
    <sheet name="Professionals" sheetId="7" state="hidden" r:id="rId7"/>
    <sheet name="Insurance" sheetId="8" r:id="rId8"/>
    <sheet name="YTD Rollup" sheetId="9" state="hidden" r:id="rId9"/>
  </sheets>
  <externalReferences>
    <externalReference r:id="rId10"/>
  </externalReferences>
  <definedNames>
    <definedName name="QBCANSUPPORTUPDATE" localSheetId="1">TRUE</definedName>
    <definedName name="QBCOMPANYFILENAME" localSheetId="1">"N:\American Dream Charter School QB file.QBW"</definedName>
    <definedName name="QBENDDATE" localSheetId="1">20230630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"02c5a59caa564706b14ae69403ad5e8d"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7</definedName>
    <definedName name="QBSTARTDATE" localSheetId="1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I91" i="1"/>
  <c r="F91" i="1"/>
  <c r="I62" i="1" l="1"/>
  <c r="I59" i="1"/>
  <c r="I57" i="1"/>
  <c r="I55" i="1"/>
  <c r="F111" i="3"/>
  <c r="F112" i="3"/>
  <c r="I56" i="1" s="1"/>
  <c r="F113" i="3"/>
  <c r="F114" i="3"/>
  <c r="F115" i="3"/>
  <c r="F116" i="3"/>
  <c r="I63" i="1" s="1"/>
  <c r="F117" i="3"/>
  <c r="I65" i="1" s="1"/>
  <c r="F118" i="3"/>
  <c r="I69" i="1" s="1"/>
  <c r="F119" i="3"/>
  <c r="I70" i="1" s="1"/>
  <c r="F120" i="3"/>
  <c r="I66" i="1" s="1"/>
  <c r="F121" i="3"/>
  <c r="I71" i="1" s="1"/>
  <c r="F122" i="3"/>
  <c r="I75" i="1" s="1"/>
  <c r="F123" i="3"/>
  <c r="I76" i="1" s="1"/>
  <c r="F124" i="3"/>
  <c r="I77" i="1" s="1"/>
  <c r="F110" i="3"/>
  <c r="I54" i="1" s="1"/>
  <c r="F125" i="3" l="1"/>
  <c r="F106" i="3" l="1"/>
  <c r="I138" i="1"/>
  <c r="I137" i="1"/>
  <c r="I123" i="1"/>
  <c r="I124" i="1"/>
  <c r="I125" i="1"/>
  <c r="I113" i="1"/>
  <c r="I108" i="1"/>
  <c r="I106" i="1"/>
  <c r="F167" i="1"/>
  <c r="I167" i="1" s="1"/>
  <c r="F166" i="1"/>
  <c r="F165" i="1"/>
  <c r="I165" i="1" s="1"/>
  <c r="F164" i="1"/>
  <c r="F163" i="1"/>
  <c r="F162" i="1"/>
  <c r="F161" i="1"/>
  <c r="F157" i="1"/>
  <c r="F158" i="1"/>
  <c r="F156" i="1"/>
  <c r="F147" i="1"/>
  <c r="F148" i="1"/>
  <c r="F149" i="1"/>
  <c r="F150" i="1"/>
  <c r="F151" i="1"/>
  <c r="F152" i="1"/>
  <c r="F146" i="1"/>
  <c r="F145" i="1"/>
  <c r="F140" i="1"/>
  <c r="F139" i="1"/>
  <c r="F134" i="1"/>
  <c r="I134" i="1" s="1"/>
  <c r="F133" i="1"/>
  <c r="I133" i="1" s="1"/>
  <c r="F132" i="1"/>
  <c r="I132" i="1" s="1"/>
  <c r="F129" i="1"/>
  <c r="I129" i="1" s="1"/>
  <c r="F128" i="1"/>
  <c r="F127" i="1"/>
  <c r="F123" i="1"/>
  <c r="F124" i="1"/>
  <c r="F125" i="1"/>
  <c r="F126" i="1"/>
  <c r="F122" i="1"/>
  <c r="F120" i="1"/>
  <c r="I120" i="1" s="1"/>
  <c r="F121" i="1"/>
  <c r="I121" i="1" s="1"/>
  <c r="F119" i="1"/>
  <c r="F118" i="1"/>
  <c r="F117" i="1"/>
  <c r="F116" i="1"/>
  <c r="F115" i="1"/>
  <c r="F114" i="1"/>
  <c r="F110" i="1"/>
  <c r="F109" i="1"/>
  <c r="F107" i="1"/>
  <c r="F28" i="1"/>
  <c r="I107" i="1" l="1"/>
  <c r="I122" i="1"/>
  <c r="I162" i="1"/>
  <c r="I150" i="1"/>
  <c r="I140" i="1"/>
  <c r="I126" i="1"/>
  <c r="I164" i="1"/>
  <c r="I114" i="1"/>
  <c r="I151" i="1"/>
  <c r="I145" i="1"/>
  <c r="I163" i="1"/>
  <c r="I152" i="1"/>
  <c r="I115" i="1"/>
  <c r="I127" i="1"/>
  <c r="I117" i="1"/>
  <c r="I110" i="1"/>
  <c r="I119" i="1"/>
  <c r="I146" i="1"/>
  <c r="I166" i="1"/>
  <c r="I116" i="1"/>
  <c r="I128" i="1"/>
  <c r="I149" i="1"/>
  <c r="I148" i="1"/>
  <c r="I118" i="1"/>
  <c r="I147" i="1"/>
  <c r="I109" i="1"/>
  <c r="I139" i="1"/>
  <c r="I23" i="1"/>
  <c r="D17" i="4"/>
  <c r="F35" i="1"/>
  <c r="F184" i="1"/>
  <c r="F183" i="1"/>
  <c r="F141" i="1"/>
  <c r="I141" i="1" s="1"/>
  <c r="F142" i="1"/>
  <c r="F60" i="1"/>
  <c r="I142" i="1" l="1"/>
  <c r="R17" i="5"/>
  <c r="F15" i="2"/>
  <c r="F43" i="2"/>
  <c r="F11" i="2" s="1"/>
  <c r="F28" i="2"/>
  <c r="F45" i="2" s="1"/>
  <c r="F49" i="2" s="1"/>
  <c r="F9" i="2" l="1"/>
  <c r="F13" i="2"/>
  <c r="F17" i="2" s="1"/>
  <c r="G19" i="2"/>
  <c r="I35" i="1" l="1"/>
  <c r="I34" i="1"/>
  <c r="I33" i="1"/>
  <c r="I31" i="1"/>
  <c r="I32" i="1"/>
  <c r="I183" i="1"/>
  <c r="I161" i="1"/>
  <c r="I155" i="1"/>
  <c r="F186" i="1" l="1"/>
  <c r="F173" i="1"/>
  <c r="F168" i="1"/>
  <c r="F159" i="1"/>
  <c r="F153" i="1"/>
  <c r="F143" i="1"/>
  <c r="F135" i="1"/>
  <c r="F130" i="1"/>
  <c r="F111" i="1"/>
  <c r="F101" i="1"/>
  <c r="F78" i="1"/>
  <c r="F73" i="1"/>
  <c r="F48" i="1"/>
  <c r="F42" i="1"/>
  <c r="F36" i="1"/>
  <c r="F29" i="1"/>
  <c r="F25" i="1"/>
  <c r="D184" i="9"/>
  <c r="D14" i="9" s="1"/>
  <c r="I182" i="9"/>
  <c r="H182" i="9"/>
  <c r="E182" i="9"/>
  <c r="F182" i="9" s="1"/>
  <c r="I181" i="9"/>
  <c r="H181" i="9"/>
  <c r="E181" i="9"/>
  <c r="F181" i="9" s="1"/>
  <c r="I179" i="9"/>
  <c r="E179" i="9"/>
  <c r="F179" i="9" s="1"/>
  <c r="H171" i="9"/>
  <c r="E171" i="9"/>
  <c r="F171" i="9" s="1"/>
  <c r="D171" i="9"/>
  <c r="J170" i="9"/>
  <c r="F170" i="9"/>
  <c r="J169" i="9"/>
  <c r="F169" i="9"/>
  <c r="I168" i="9"/>
  <c r="J168" i="9" s="1"/>
  <c r="F168" i="9"/>
  <c r="D166" i="9"/>
  <c r="I165" i="9"/>
  <c r="H165" i="9"/>
  <c r="J165" i="9" s="1"/>
  <c r="E165" i="9"/>
  <c r="F165" i="9" s="1"/>
  <c r="I164" i="9"/>
  <c r="H164" i="9"/>
  <c r="E164" i="9"/>
  <c r="F164" i="9" s="1"/>
  <c r="I163" i="9"/>
  <c r="H163" i="9"/>
  <c r="E163" i="9"/>
  <c r="I162" i="9"/>
  <c r="H162" i="9"/>
  <c r="E162" i="9"/>
  <c r="F162" i="9" s="1"/>
  <c r="I161" i="9"/>
  <c r="H161" i="9"/>
  <c r="E161" i="9"/>
  <c r="F161" i="9" s="1"/>
  <c r="I160" i="9"/>
  <c r="H160" i="9"/>
  <c r="E160" i="9"/>
  <c r="F160" i="9" s="1"/>
  <c r="I159" i="9"/>
  <c r="H159" i="9"/>
  <c r="E159" i="9"/>
  <c r="F159" i="9" s="1"/>
  <c r="D157" i="9"/>
  <c r="H156" i="9"/>
  <c r="J156" i="9" s="1"/>
  <c r="F156" i="9"/>
  <c r="H155" i="9"/>
  <c r="J155" i="9" s="1"/>
  <c r="F155" i="9"/>
  <c r="H154" i="9"/>
  <c r="J154" i="9" s="1"/>
  <c r="F154" i="9"/>
  <c r="I153" i="9"/>
  <c r="H153" i="9"/>
  <c r="E153" i="9"/>
  <c r="E157" i="9" s="1"/>
  <c r="F157" i="9" s="1"/>
  <c r="D151" i="9"/>
  <c r="H150" i="9"/>
  <c r="J150" i="9" s="1"/>
  <c r="F150" i="9"/>
  <c r="H149" i="9"/>
  <c r="J149" i="9" s="1"/>
  <c r="F149" i="9"/>
  <c r="H148" i="9"/>
  <c r="J148" i="9" s="1"/>
  <c r="F148" i="9"/>
  <c r="H147" i="9"/>
  <c r="F147" i="9"/>
  <c r="I146" i="9"/>
  <c r="H146" i="9"/>
  <c r="E146" i="9"/>
  <c r="F146" i="9" s="1"/>
  <c r="H145" i="9"/>
  <c r="J145" i="9" s="1"/>
  <c r="F145" i="9"/>
  <c r="I144" i="9"/>
  <c r="H144" i="9"/>
  <c r="E144" i="9"/>
  <c r="F144" i="9" s="1"/>
  <c r="I143" i="9"/>
  <c r="H143" i="9"/>
  <c r="E143" i="9"/>
  <c r="F143" i="9" s="1"/>
  <c r="D141" i="9"/>
  <c r="H140" i="9"/>
  <c r="J140" i="9" s="1"/>
  <c r="F140" i="9"/>
  <c r="H139" i="9"/>
  <c r="J139" i="9" s="1"/>
  <c r="F139" i="9"/>
  <c r="I138" i="9"/>
  <c r="H138" i="9"/>
  <c r="E138" i="9"/>
  <c r="I137" i="9"/>
  <c r="H137" i="9"/>
  <c r="E137" i="9"/>
  <c r="F137" i="9" s="1"/>
  <c r="F136" i="9"/>
  <c r="F135" i="9"/>
  <c r="D133" i="9"/>
  <c r="I132" i="9"/>
  <c r="H132" i="9"/>
  <c r="E132" i="9"/>
  <c r="F132" i="9" s="1"/>
  <c r="I131" i="9"/>
  <c r="H131" i="9"/>
  <c r="E131" i="9"/>
  <c r="F131" i="9" s="1"/>
  <c r="I130" i="9"/>
  <c r="H130" i="9"/>
  <c r="E130" i="9"/>
  <c r="D128" i="9"/>
  <c r="I127" i="9"/>
  <c r="J127" i="9" s="1"/>
  <c r="F127" i="9"/>
  <c r="I126" i="9"/>
  <c r="H126" i="9"/>
  <c r="E126" i="9"/>
  <c r="F126" i="9" s="1"/>
  <c r="I125" i="9"/>
  <c r="H125" i="9"/>
  <c r="E125" i="9"/>
  <c r="F125" i="9" s="1"/>
  <c r="I124" i="9"/>
  <c r="H124" i="9"/>
  <c r="E124" i="9"/>
  <c r="F124" i="9" s="1"/>
  <c r="I123" i="9"/>
  <c r="H123" i="9"/>
  <c r="E123" i="9"/>
  <c r="F123" i="9" s="1"/>
  <c r="I122" i="9"/>
  <c r="H122" i="9"/>
  <c r="E122" i="9"/>
  <c r="F122" i="9" s="1"/>
  <c r="H121" i="9"/>
  <c r="J121" i="9" s="1"/>
  <c r="F121" i="9"/>
  <c r="I120" i="9"/>
  <c r="H120" i="9"/>
  <c r="E120" i="9"/>
  <c r="F120" i="9" s="1"/>
  <c r="H119" i="9"/>
  <c r="J119" i="9" s="1"/>
  <c r="F119" i="9"/>
  <c r="I118" i="9"/>
  <c r="H118" i="9"/>
  <c r="E118" i="9"/>
  <c r="F118" i="9" s="1"/>
  <c r="I117" i="9"/>
  <c r="H117" i="9"/>
  <c r="E117" i="9"/>
  <c r="F117" i="9" s="1"/>
  <c r="I116" i="9"/>
  <c r="H116" i="9"/>
  <c r="E116" i="9"/>
  <c r="F116" i="9" s="1"/>
  <c r="I115" i="9"/>
  <c r="H115" i="9"/>
  <c r="E115" i="9"/>
  <c r="F115" i="9" s="1"/>
  <c r="I114" i="9"/>
  <c r="H114" i="9"/>
  <c r="E114" i="9"/>
  <c r="F114" i="9" s="1"/>
  <c r="I113" i="9"/>
  <c r="H113" i="9"/>
  <c r="E113" i="9"/>
  <c r="F113" i="9" s="1"/>
  <c r="I112" i="9"/>
  <c r="H112" i="9"/>
  <c r="E112" i="9"/>
  <c r="I111" i="9"/>
  <c r="H111" i="9"/>
  <c r="E111" i="9"/>
  <c r="F111" i="9" s="1"/>
  <c r="D109" i="9"/>
  <c r="I108" i="9"/>
  <c r="H108" i="9"/>
  <c r="E108" i="9"/>
  <c r="F108" i="9" s="1"/>
  <c r="I107" i="9"/>
  <c r="H107" i="9"/>
  <c r="E107" i="9"/>
  <c r="F107" i="9" s="1"/>
  <c r="I106" i="9"/>
  <c r="H106" i="9"/>
  <c r="E106" i="9"/>
  <c r="F106" i="9" s="1"/>
  <c r="I105" i="9"/>
  <c r="H105" i="9"/>
  <c r="E105" i="9"/>
  <c r="F105" i="9" s="1"/>
  <c r="I104" i="9"/>
  <c r="H104" i="9"/>
  <c r="E104" i="9"/>
  <c r="F104" i="9" s="1"/>
  <c r="D99" i="9"/>
  <c r="D101" i="9" s="1"/>
  <c r="I98" i="9"/>
  <c r="E98" i="9"/>
  <c r="F98" i="9" s="1"/>
  <c r="I97" i="9"/>
  <c r="E97" i="9"/>
  <c r="F97" i="9" s="1"/>
  <c r="I94" i="9"/>
  <c r="E32" i="2" s="1"/>
  <c r="G32" i="2" s="1"/>
  <c r="E94" i="9"/>
  <c r="H89" i="9"/>
  <c r="E89" i="9"/>
  <c r="D89" i="9"/>
  <c r="I88" i="9"/>
  <c r="G90" i="1" s="1"/>
  <c r="I87" i="9"/>
  <c r="J87" i="9" s="1"/>
  <c r="I86" i="9"/>
  <c r="J86" i="9" s="1"/>
  <c r="I85" i="9"/>
  <c r="J85" i="9" s="1"/>
  <c r="I84" i="9"/>
  <c r="J84" i="9" s="1"/>
  <c r="I83" i="9"/>
  <c r="J83" i="9" s="1"/>
  <c r="I82" i="9"/>
  <c r="G83" i="1" s="1"/>
  <c r="I81" i="9"/>
  <c r="J81" i="9" s="1"/>
  <c r="I80" i="9"/>
  <c r="J80" i="9" s="1"/>
  <c r="I79" i="9"/>
  <c r="J79" i="9" s="1"/>
  <c r="D77" i="9"/>
  <c r="I76" i="9"/>
  <c r="H76" i="9"/>
  <c r="E76" i="9"/>
  <c r="F76" i="9" s="1"/>
  <c r="I75" i="9"/>
  <c r="H75" i="9"/>
  <c r="E75" i="9"/>
  <c r="F75" i="9" s="1"/>
  <c r="I74" i="9"/>
  <c r="H74" i="9"/>
  <c r="E74" i="9"/>
  <c r="F74" i="9" s="1"/>
  <c r="D72" i="9"/>
  <c r="I71" i="9"/>
  <c r="J71" i="9" s="1"/>
  <c r="E71" i="9"/>
  <c r="F71" i="9" s="1"/>
  <c r="I70" i="9"/>
  <c r="H70" i="9"/>
  <c r="E70" i="9"/>
  <c r="F70" i="9" s="1"/>
  <c r="I69" i="9"/>
  <c r="H69" i="9"/>
  <c r="E69" i="9"/>
  <c r="F69" i="9" s="1"/>
  <c r="I68" i="9"/>
  <c r="H68" i="9"/>
  <c r="E68" i="9"/>
  <c r="F68" i="9" s="1"/>
  <c r="I67" i="9"/>
  <c r="H67" i="9"/>
  <c r="E67" i="9"/>
  <c r="F67" i="9" s="1"/>
  <c r="I66" i="9"/>
  <c r="J66" i="9" s="1"/>
  <c r="E66" i="9"/>
  <c r="F66" i="9" s="1"/>
  <c r="I65" i="9"/>
  <c r="H65" i="9"/>
  <c r="E65" i="9"/>
  <c r="F65" i="9" s="1"/>
  <c r="I64" i="9"/>
  <c r="H64" i="9"/>
  <c r="E64" i="9"/>
  <c r="F64" i="9" s="1"/>
  <c r="I63" i="9"/>
  <c r="J63" i="9" s="1"/>
  <c r="I62" i="9"/>
  <c r="H62" i="9"/>
  <c r="E62" i="9"/>
  <c r="F62" i="9" s="1"/>
  <c r="I61" i="9"/>
  <c r="H61" i="9"/>
  <c r="E61" i="9"/>
  <c r="D59" i="9"/>
  <c r="D91" i="9" s="1"/>
  <c r="D173" i="9" s="1"/>
  <c r="D10" i="9" s="1"/>
  <c r="I58" i="9"/>
  <c r="H58" i="9"/>
  <c r="E58" i="9"/>
  <c r="F58" i="9" s="1"/>
  <c r="I57" i="9"/>
  <c r="E57" i="9"/>
  <c r="F57" i="9" s="1"/>
  <c r="I56" i="9"/>
  <c r="H56" i="9"/>
  <c r="E56" i="9"/>
  <c r="F56" i="9" s="1"/>
  <c r="I55" i="9"/>
  <c r="H55" i="9"/>
  <c r="E55" i="9"/>
  <c r="F55" i="9" s="1"/>
  <c r="I54" i="9"/>
  <c r="H54" i="9"/>
  <c r="E54" i="9"/>
  <c r="F54" i="9" s="1"/>
  <c r="I53" i="9"/>
  <c r="H53" i="9"/>
  <c r="E53" i="9"/>
  <c r="F53" i="9" s="1"/>
  <c r="H47" i="9"/>
  <c r="D47" i="9"/>
  <c r="J46" i="9"/>
  <c r="F46" i="9"/>
  <c r="J45" i="9"/>
  <c r="F45" i="9"/>
  <c r="I44" i="9"/>
  <c r="J44" i="9" s="1"/>
  <c r="E44" i="9"/>
  <c r="F44" i="9" s="1"/>
  <c r="I43" i="9"/>
  <c r="I47" i="9" s="1"/>
  <c r="J47" i="9" s="1"/>
  <c r="E43" i="9"/>
  <c r="H41" i="9"/>
  <c r="D41" i="9"/>
  <c r="J40" i="9"/>
  <c r="F40" i="9"/>
  <c r="I39" i="9"/>
  <c r="J39" i="9" s="1"/>
  <c r="E39" i="9"/>
  <c r="F39" i="9" s="1"/>
  <c r="I38" i="9"/>
  <c r="E38" i="9"/>
  <c r="F38" i="9" s="1"/>
  <c r="I37" i="9"/>
  <c r="E37" i="9"/>
  <c r="I34" i="9"/>
  <c r="H34" i="9"/>
  <c r="E34" i="9"/>
  <c r="D34" i="9"/>
  <c r="D35" i="9" s="1"/>
  <c r="I33" i="9"/>
  <c r="J33" i="9" s="1"/>
  <c r="E33" i="9"/>
  <c r="F33" i="9" s="1"/>
  <c r="I32" i="9"/>
  <c r="J32" i="9" s="1"/>
  <c r="E32" i="9"/>
  <c r="F32" i="9" s="1"/>
  <c r="I31" i="9"/>
  <c r="J31" i="9" s="1"/>
  <c r="E31" i="9"/>
  <c r="F31" i="9" s="1"/>
  <c r="I30" i="9"/>
  <c r="H30" i="9"/>
  <c r="E30" i="9"/>
  <c r="F30" i="9" s="1"/>
  <c r="M28" i="9"/>
  <c r="D28" i="9"/>
  <c r="I27" i="9"/>
  <c r="H27" i="9"/>
  <c r="H28" i="9" s="1"/>
  <c r="E27" i="9"/>
  <c r="F27" i="9" s="1"/>
  <c r="I26" i="9"/>
  <c r="J26" i="9" s="1"/>
  <c r="E26" i="9"/>
  <c r="F26" i="9" s="1"/>
  <c r="D24" i="9"/>
  <c r="I23" i="9"/>
  <c r="H23" i="9"/>
  <c r="E23" i="9"/>
  <c r="F23" i="9" s="1"/>
  <c r="I22" i="9"/>
  <c r="I24" i="9" s="1"/>
  <c r="H22" i="9"/>
  <c r="E22" i="9"/>
  <c r="F22" i="9" s="1"/>
  <c r="I18" i="9"/>
  <c r="H18" i="9"/>
  <c r="F18" i="9"/>
  <c r="D18" i="9"/>
  <c r="J113" i="9" l="1"/>
  <c r="F103" i="1"/>
  <c r="F15" i="1"/>
  <c r="H24" i="9"/>
  <c r="J114" i="9"/>
  <c r="I141" i="9"/>
  <c r="E141" i="9"/>
  <c r="F141" i="9" s="1"/>
  <c r="J116" i="9"/>
  <c r="I157" i="9"/>
  <c r="J69" i="9"/>
  <c r="J153" i="9"/>
  <c r="J159" i="9"/>
  <c r="J163" i="9"/>
  <c r="J74" i="9"/>
  <c r="J120" i="9"/>
  <c r="J124" i="9"/>
  <c r="J65" i="9"/>
  <c r="H77" i="9"/>
  <c r="J126" i="9"/>
  <c r="H141" i="9"/>
  <c r="J141" i="9" s="1"/>
  <c r="J18" i="9"/>
  <c r="I28" i="9"/>
  <c r="J28" i="9" s="1"/>
  <c r="J62" i="9"/>
  <c r="E77" i="9"/>
  <c r="F77" i="9" s="1"/>
  <c r="J125" i="9"/>
  <c r="H35" i="9"/>
  <c r="I59" i="9"/>
  <c r="J105" i="9"/>
  <c r="J55" i="9"/>
  <c r="J43" i="9"/>
  <c r="J70" i="9"/>
  <c r="E133" i="9"/>
  <c r="F133" i="9" s="1"/>
  <c r="J75" i="9"/>
  <c r="F130" i="9"/>
  <c r="H151" i="9"/>
  <c r="J131" i="9"/>
  <c r="J115" i="9"/>
  <c r="J160" i="9"/>
  <c r="J88" i="9"/>
  <c r="J107" i="9"/>
  <c r="I171" i="9"/>
  <c r="J171" i="9" s="1"/>
  <c r="G88" i="1"/>
  <c r="E24" i="9"/>
  <c r="F24" i="9" s="1"/>
  <c r="E72" i="9"/>
  <c r="F72" i="9" s="1"/>
  <c r="G80" i="1"/>
  <c r="J57" i="9"/>
  <c r="J38" i="9"/>
  <c r="J54" i="9"/>
  <c r="J106" i="9"/>
  <c r="J164" i="9"/>
  <c r="E28" i="9"/>
  <c r="F28" i="9" s="1"/>
  <c r="J23" i="9"/>
  <c r="J68" i="9"/>
  <c r="J30" i="9"/>
  <c r="J34" i="9"/>
  <c r="H72" i="9"/>
  <c r="E151" i="9"/>
  <c r="F151" i="9" s="1"/>
  <c r="I184" i="9"/>
  <c r="G81" i="1"/>
  <c r="J76" i="9"/>
  <c r="I99" i="9"/>
  <c r="I101" i="9" s="1"/>
  <c r="J143" i="9"/>
  <c r="J182" i="9"/>
  <c r="J64" i="9"/>
  <c r="J144" i="9"/>
  <c r="E184" i="9"/>
  <c r="I35" i="9"/>
  <c r="E47" i="9"/>
  <c r="F47" i="9" s="1"/>
  <c r="I72" i="9"/>
  <c r="J162" i="9"/>
  <c r="G82" i="1"/>
  <c r="J67" i="9"/>
  <c r="J118" i="9"/>
  <c r="E99" i="9"/>
  <c r="F99" i="9" s="1"/>
  <c r="I77" i="9"/>
  <c r="J132" i="9"/>
  <c r="E41" i="9"/>
  <c r="F41" i="9" s="1"/>
  <c r="J82" i="9"/>
  <c r="J108" i="9"/>
  <c r="H133" i="9"/>
  <c r="J146" i="9"/>
  <c r="E166" i="9"/>
  <c r="F166" i="9" s="1"/>
  <c r="G85" i="1"/>
  <c r="J122" i="9"/>
  <c r="G86" i="1"/>
  <c r="G87" i="1"/>
  <c r="J123" i="9"/>
  <c r="J58" i="9"/>
  <c r="I41" i="9"/>
  <c r="J41" i="9" s="1"/>
  <c r="H59" i="9"/>
  <c r="J117" i="9"/>
  <c r="J130" i="9"/>
  <c r="J137" i="9"/>
  <c r="H166" i="9"/>
  <c r="H184" i="9"/>
  <c r="H14" i="9" s="1"/>
  <c r="G84" i="1"/>
  <c r="F50" i="1"/>
  <c r="F93" i="1"/>
  <c r="I89" i="9"/>
  <c r="J89" i="9" s="1"/>
  <c r="F163" i="9"/>
  <c r="F94" i="9"/>
  <c r="J147" i="9"/>
  <c r="J112" i="9"/>
  <c r="J24" i="9"/>
  <c r="E109" i="9"/>
  <c r="F109" i="9" s="1"/>
  <c r="F34" i="9"/>
  <c r="F43" i="9"/>
  <c r="H128" i="9"/>
  <c r="H157" i="9"/>
  <c r="J157" i="9" s="1"/>
  <c r="F138" i="9"/>
  <c r="F61" i="9"/>
  <c r="J181" i="9"/>
  <c r="J53" i="9"/>
  <c r="J138" i="9"/>
  <c r="J61" i="9"/>
  <c r="I128" i="9"/>
  <c r="E35" i="9"/>
  <c r="F35" i="9" s="1"/>
  <c r="H109" i="9"/>
  <c r="J111" i="9"/>
  <c r="J161" i="9"/>
  <c r="I151" i="9"/>
  <c r="J151" i="9" s="1"/>
  <c r="J27" i="9"/>
  <c r="I109" i="9"/>
  <c r="E128" i="9"/>
  <c r="F128" i="9" s="1"/>
  <c r="J179" i="9"/>
  <c r="F37" i="9"/>
  <c r="J56" i="9"/>
  <c r="I133" i="9"/>
  <c r="J22" i="9"/>
  <c r="D49" i="9"/>
  <c r="E59" i="9"/>
  <c r="F112" i="9"/>
  <c r="J104" i="9"/>
  <c r="J37" i="9"/>
  <c r="I166" i="9"/>
  <c r="F153" i="9"/>
  <c r="H49" i="9" l="1"/>
  <c r="F175" i="1"/>
  <c r="F11" i="1" s="1"/>
  <c r="F13" i="1" s="1"/>
  <c r="F9" i="1"/>
  <c r="J35" i="9"/>
  <c r="I91" i="9"/>
  <c r="J77" i="9"/>
  <c r="J133" i="9"/>
  <c r="H91" i="9"/>
  <c r="H98" i="9" s="1"/>
  <c r="J98" i="9" s="1"/>
  <c r="J72" i="9"/>
  <c r="J184" i="9"/>
  <c r="J166" i="9"/>
  <c r="F184" i="9"/>
  <c r="E14" i="9"/>
  <c r="F14" i="9" s="1"/>
  <c r="I49" i="9"/>
  <c r="J49" i="9" s="1"/>
  <c r="J59" i="9"/>
  <c r="I14" i="9"/>
  <c r="J14" i="9" s="1"/>
  <c r="E101" i="9"/>
  <c r="F101" i="9" s="1"/>
  <c r="I173" i="9"/>
  <c r="H8" i="9"/>
  <c r="D175" i="9"/>
  <c r="D186" i="9" s="1"/>
  <c r="D8" i="9"/>
  <c r="D12" i="9" s="1"/>
  <c r="D16" i="9" s="1"/>
  <c r="J128" i="9"/>
  <c r="J109" i="9"/>
  <c r="F59" i="9"/>
  <c r="E91" i="9"/>
  <c r="E49" i="9"/>
  <c r="F177" i="1" l="1"/>
  <c r="F17" i="1"/>
  <c r="F188" i="1"/>
  <c r="J91" i="9"/>
  <c r="H97" i="9"/>
  <c r="H94" i="9"/>
  <c r="I175" i="9"/>
  <c r="I8" i="9"/>
  <c r="J8" i="9" s="1"/>
  <c r="J94" i="9"/>
  <c r="I186" i="9"/>
  <c r="H99" i="9"/>
  <c r="J99" i="9" s="1"/>
  <c r="J97" i="9"/>
  <c r="F49" i="9"/>
  <c r="E8" i="9"/>
  <c r="I10" i="9"/>
  <c r="E173" i="9"/>
  <c r="E175" i="9" s="1"/>
  <c r="F91" i="9"/>
  <c r="I12" i="9" l="1"/>
  <c r="F175" i="9"/>
  <c r="E186" i="9"/>
  <c r="F186" i="9" s="1"/>
  <c r="I16" i="9"/>
  <c r="F8" i="9"/>
  <c r="F173" i="9"/>
  <c r="E10" i="9"/>
  <c r="F10" i="9" s="1"/>
  <c r="H101" i="9"/>
  <c r="J101" i="9" l="1"/>
  <c r="H173" i="9"/>
  <c r="E12" i="9"/>
  <c r="F12" i="9" l="1"/>
  <c r="E16" i="9"/>
  <c r="F16" i="9" s="1"/>
  <c r="H10" i="9"/>
  <c r="H175" i="9"/>
  <c r="J173" i="9"/>
  <c r="H186" i="9" l="1"/>
  <c r="J186" i="9" s="1"/>
  <c r="J175" i="9"/>
  <c r="H12" i="9"/>
  <c r="J10" i="9"/>
  <c r="H16" i="9" l="1"/>
  <c r="J16" i="9" s="1"/>
  <c r="J12" i="9"/>
  <c r="I19" i="1" l="1"/>
  <c r="D186" i="1"/>
  <c r="G184" i="1"/>
  <c r="G183" i="1"/>
  <c r="G181" i="1"/>
  <c r="I173" i="1"/>
  <c r="D173" i="1"/>
  <c r="G172" i="1"/>
  <c r="G171" i="1"/>
  <c r="G170" i="1"/>
  <c r="D168" i="1"/>
  <c r="G167" i="1"/>
  <c r="G165" i="1"/>
  <c r="G164" i="1"/>
  <c r="G163" i="1"/>
  <c r="G162" i="1"/>
  <c r="G161" i="1"/>
  <c r="D159" i="1"/>
  <c r="G158" i="1"/>
  <c r="G157" i="1"/>
  <c r="G156" i="1"/>
  <c r="G155" i="1"/>
  <c r="D153" i="1"/>
  <c r="G152" i="1"/>
  <c r="G151" i="1"/>
  <c r="G150" i="1"/>
  <c r="G149" i="1"/>
  <c r="G148" i="1"/>
  <c r="G147" i="1"/>
  <c r="G146" i="1"/>
  <c r="D143" i="1"/>
  <c r="G142" i="1"/>
  <c r="G141" i="1"/>
  <c r="G140" i="1"/>
  <c r="G139" i="1"/>
  <c r="G138" i="1"/>
  <c r="G137" i="1"/>
  <c r="D135" i="1"/>
  <c r="G134" i="1"/>
  <c r="G133" i="1"/>
  <c r="D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D111" i="1"/>
  <c r="G110" i="1"/>
  <c r="G109" i="1"/>
  <c r="G108" i="1"/>
  <c r="G107" i="1"/>
  <c r="G106" i="1"/>
  <c r="D101" i="1"/>
  <c r="G99" i="1"/>
  <c r="G96" i="1"/>
  <c r="D91" i="1"/>
  <c r="D78" i="1"/>
  <c r="G77" i="1"/>
  <c r="G76" i="1"/>
  <c r="D73" i="1"/>
  <c r="G72" i="1"/>
  <c r="G71" i="1"/>
  <c r="G70" i="1"/>
  <c r="G69" i="1"/>
  <c r="G68" i="1"/>
  <c r="G67" i="1"/>
  <c r="G66" i="1"/>
  <c r="G65" i="1"/>
  <c r="G63" i="1"/>
  <c r="G62" i="1"/>
  <c r="D60" i="1"/>
  <c r="G59" i="1"/>
  <c r="G58" i="1"/>
  <c r="G57" i="1"/>
  <c r="G56" i="1"/>
  <c r="G55" i="1"/>
  <c r="G54" i="1"/>
  <c r="I48" i="1"/>
  <c r="I26" i="2" s="1"/>
  <c r="D48" i="1"/>
  <c r="G47" i="1"/>
  <c r="G46" i="1"/>
  <c r="G45" i="1"/>
  <c r="G44" i="1"/>
  <c r="I42" i="1"/>
  <c r="I25" i="2" s="1"/>
  <c r="D42" i="1"/>
  <c r="G41" i="1"/>
  <c r="G40" i="1"/>
  <c r="G39" i="1"/>
  <c r="G38" i="1"/>
  <c r="G35" i="1"/>
  <c r="G34" i="1"/>
  <c r="G33" i="1"/>
  <c r="G32" i="1"/>
  <c r="I36" i="1"/>
  <c r="I24" i="2" s="1"/>
  <c r="G31" i="1"/>
  <c r="D29" i="1"/>
  <c r="G28" i="1"/>
  <c r="D25" i="1"/>
  <c r="G24" i="1"/>
  <c r="G23" i="1"/>
  <c r="D19" i="1"/>
  <c r="D103" i="1" l="1"/>
  <c r="G19" i="1"/>
  <c r="D15" i="1"/>
  <c r="G101" i="1"/>
  <c r="E33" i="2"/>
  <c r="G33" i="2" s="1"/>
  <c r="I186" i="1"/>
  <c r="I47" i="2" s="1"/>
  <c r="I15" i="2" s="1"/>
  <c r="G78" i="1"/>
  <c r="I60" i="1"/>
  <c r="I153" i="1"/>
  <c r="I38" i="2" s="1"/>
  <c r="G173" i="1"/>
  <c r="D36" i="1"/>
  <c r="I159" i="1"/>
  <c r="I39" i="2" s="1"/>
  <c r="G75" i="1"/>
  <c r="G100" i="1"/>
  <c r="G145" i="1"/>
  <c r="G113" i="1"/>
  <c r="I78" i="1"/>
  <c r="I111" i="1"/>
  <c r="I34" i="2" s="1"/>
  <c r="G166" i="1"/>
  <c r="E24" i="2"/>
  <c r="G24" i="2" s="1"/>
  <c r="G103" i="1"/>
  <c r="G132" i="1"/>
  <c r="D93" i="1"/>
  <c r="I143" i="1"/>
  <c r="I37" i="2" s="1"/>
  <c r="I73" i="1"/>
  <c r="I130" i="1"/>
  <c r="I35" i="2" s="1"/>
  <c r="G73" i="1"/>
  <c r="I168" i="1"/>
  <c r="I40" i="2" s="1"/>
  <c r="I135" i="1"/>
  <c r="I36" i="2" s="1"/>
  <c r="G27" i="1"/>
  <c r="D175" i="1" l="1"/>
  <c r="D50" i="1"/>
  <c r="G111" i="1"/>
  <c r="E34" i="2"/>
  <c r="G34" i="2" s="1"/>
  <c r="G42" i="1"/>
  <c r="E25" i="2"/>
  <c r="G25" i="2" s="1"/>
  <c r="G159" i="1"/>
  <c r="E39" i="2"/>
  <c r="G39" i="2" s="1"/>
  <c r="G130" i="1"/>
  <c r="E35" i="2"/>
  <c r="G35" i="2" s="1"/>
  <c r="G29" i="1"/>
  <c r="E23" i="2"/>
  <c r="G23" i="2" s="1"/>
  <c r="G143" i="1"/>
  <c r="E37" i="2"/>
  <c r="G37" i="2" s="1"/>
  <c r="G135" i="1"/>
  <c r="E36" i="2"/>
  <c r="G36" i="2" s="1"/>
  <c r="G48" i="1"/>
  <c r="E26" i="2"/>
  <c r="G26" i="2" s="1"/>
  <c r="G153" i="1"/>
  <c r="E38" i="2"/>
  <c r="G38" i="2" s="1"/>
  <c r="G25" i="1"/>
  <c r="E22" i="2"/>
  <c r="G15" i="1"/>
  <c r="E47" i="2"/>
  <c r="G168" i="1"/>
  <c r="E40" i="2"/>
  <c r="G40" i="2" s="1"/>
  <c r="I15" i="1"/>
  <c r="G36" i="1"/>
  <c r="G60" i="1"/>
  <c r="I93" i="1"/>
  <c r="I99" i="1" s="1"/>
  <c r="G186" i="1"/>
  <c r="D9" i="1"/>
  <c r="D177" i="1"/>
  <c r="D188" i="1" l="1"/>
  <c r="D11" i="1"/>
  <c r="I31" i="2"/>
  <c r="I100" i="1"/>
  <c r="I96" i="1"/>
  <c r="I32" i="2" s="1"/>
  <c r="E15" i="2"/>
  <c r="G15" i="2" s="1"/>
  <c r="G47" i="2"/>
  <c r="E28" i="2"/>
  <c r="G22" i="2"/>
  <c r="E31" i="2"/>
  <c r="G93" i="1"/>
  <c r="G50" i="1"/>
  <c r="I101" i="1" l="1"/>
  <c r="I33" i="2" s="1"/>
  <c r="I43" i="2" s="1"/>
  <c r="I11" i="2" s="1"/>
  <c r="G11" i="1"/>
  <c r="D13" i="1"/>
  <c r="I103" i="1"/>
  <c r="I175" i="1" s="1"/>
  <c r="G175" i="1"/>
  <c r="E43" i="2"/>
  <c r="E45" i="2" s="1"/>
  <c r="G31" i="2"/>
  <c r="E9" i="2"/>
  <c r="G28" i="2"/>
  <c r="G9" i="1"/>
  <c r="G188" i="1"/>
  <c r="G177" i="1"/>
  <c r="D17" i="1" l="1"/>
  <c r="I11" i="1"/>
  <c r="G9" i="2"/>
  <c r="E49" i="2"/>
  <c r="G49" i="2" s="1"/>
  <c r="G45" i="2"/>
  <c r="E11" i="2"/>
  <c r="G11" i="2" s="1"/>
  <c r="G43" i="2"/>
  <c r="G17" i="1"/>
  <c r="G13" i="1"/>
  <c r="E13" i="2" l="1"/>
  <c r="F31" i="8"/>
  <c r="F28" i="8"/>
  <c r="F26" i="8"/>
  <c r="F24" i="8"/>
  <c r="F22" i="8"/>
  <c r="F20" i="8"/>
  <c r="F18" i="8"/>
  <c r="F15" i="8"/>
  <c r="F12" i="8"/>
  <c r="F10" i="8"/>
  <c r="F7" i="8"/>
  <c r="D29" i="8"/>
  <c r="E17" i="2" l="1"/>
  <c r="G17" i="2" s="1"/>
  <c r="G13" i="2"/>
  <c r="F29" i="8"/>
  <c r="I10" i="7"/>
  <c r="I11" i="7"/>
  <c r="I12" i="7"/>
  <c r="I13" i="7"/>
  <c r="I9" i="7"/>
  <c r="G14" i="7"/>
  <c r="F14" i="7"/>
  <c r="E14" i="7"/>
  <c r="D29" i="4"/>
  <c r="E35" i="6"/>
  <c r="C35" i="6"/>
  <c r="G23" i="6" s="1"/>
  <c r="H23" i="6" s="1"/>
  <c r="G28" i="6"/>
  <c r="H28" i="6" s="1"/>
  <c r="G27" i="6"/>
  <c r="H27" i="6" s="1"/>
  <c r="G25" i="6"/>
  <c r="H25" i="6" s="1"/>
  <c r="G22" i="6"/>
  <c r="H22" i="6" s="1"/>
  <c r="G15" i="6"/>
  <c r="H15" i="6" s="1"/>
  <c r="G14" i="6"/>
  <c r="H14" i="6" s="1"/>
  <c r="G12" i="6"/>
  <c r="H12" i="6" s="1"/>
  <c r="G9" i="6"/>
  <c r="H9" i="6" s="1"/>
  <c r="I14" i="7" l="1"/>
  <c r="C14" i="7"/>
  <c r="G17" i="6"/>
  <c r="H17" i="6" s="1"/>
  <c r="G30" i="6"/>
  <c r="H30" i="6" s="1"/>
  <c r="G19" i="6"/>
  <c r="H19" i="6" s="1"/>
  <c r="G31" i="6"/>
  <c r="H31" i="6" s="1"/>
  <c r="J31" i="6" s="1"/>
  <c r="G7" i="6"/>
  <c r="H7" i="6" s="1"/>
  <c r="K7" i="6" s="1"/>
  <c r="G20" i="6"/>
  <c r="H20" i="6" s="1"/>
  <c r="K20" i="6" s="1"/>
  <c r="G33" i="6"/>
  <c r="H33" i="6" s="1"/>
  <c r="K33" i="6" s="1"/>
  <c r="G11" i="6"/>
  <c r="H11" i="6" s="1"/>
  <c r="J11" i="6" s="1"/>
  <c r="G34" i="6"/>
  <c r="H34" i="6" s="1"/>
  <c r="K25" i="6"/>
  <c r="J25" i="6"/>
  <c r="K27" i="6"/>
  <c r="J27" i="6"/>
  <c r="J15" i="6"/>
  <c r="K15" i="6"/>
  <c r="K17" i="6"/>
  <c r="J17" i="6"/>
  <c r="K9" i="6"/>
  <c r="J9" i="6"/>
  <c r="K12" i="6"/>
  <c r="J12" i="6"/>
  <c r="J14" i="6"/>
  <c r="K14" i="6"/>
  <c r="K28" i="6"/>
  <c r="J28" i="6"/>
  <c r="J30" i="6"/>
  <c r="K30" i="6"/>
  <c r="K19" i="6"/>
  <c r="J19" i="6"/>
  <c r="J7" i="6"/>
  <c r="J22" i="6"/>
  <c r="K22" i="6"/>
  <c r="K11" i="6"/>
  <c r="J23" i="6"/>
  <c r="K23" i="6"/>
  <c r="K34" i="6"/>
  <c r="J34" i="6"/>
  <c r="G13" i="6"/>
  <c r="H13" i="6" s="1"/>
  <c r="G21" i="6"/>
  <c r="H21" i="6" s="1"/>
  <c r="G29" i="6"/>
  <c r="H29" i="6" s="1"/>
  <c r="G8" i="6"/>
  <c r="H8" i="6" s="1"/>
  <c r="G16" i="6"/>
  <c r="H16" i="6" s="1"/>
  <c r="G24" i="6"/>
  <c r="H24" i="6" s="1"/>
  <c r="G32" i="6"/>
  <c r="H32" i="6" s="1"/>
  <c r="G10" i="6"/>
  <c r="H10" i="6" s="1"/>
  <c r="G18" i="6"/>
  <c r="H18" i="6" s="1"/>
  <c r="G26" i="6"/>
  <c r="H26" i="6" s="1"/>
  <c r="H35" i="6" l="1"/>
  <c r="J33" i="6"/>
  <c r="J20" i="6"/>
  <c r="K31" i="6"/>
  <c r="K26" i="6"/>
  <c r="J26" i="6"/>
  <c r="K10" i="6"/>
  <c r="J10" i="6"/>
  <c r="J32" i="6"/>
  <c r="K32" i="6"/>
  <c r="J24" i="6"/>
  <c r="K24" i="6"/>
  <c r="J16" i="6"/>
  <c r="K16" i="6"/>
  <c r="J8" i="6"/>
  <c r="K8" i="6"/>
  <c r="K29" i="6"/>
  <c r="J29" i="6"/>
  <c r="K18" i="6"/>
  <c r="J18" i="6"/>
  <c r="J21" i="6"/>
  <c r="K21" i="6"/>
  <c r="K13" i="6"/>
  <c r="J13" i="6"/>
  <c r="G35" i="6"/>
  <c r="L7" i="6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K35" i="6" l="1"/>
  <c r="I9" i="5"/>
  <c r="D20" i="4"/>
  <c r="F9" i="5"/>
  <c r="K14" i="5" s="1"/>
  <c r="D15" i="5"/>
  <c r="D14" i="5"/>
  <c r="D13" i="5"/>
  <c r="F13" i="5" s="1"/>
  <c r="D12" i="5"/>
  <c r="F12" i="5" s="1"/>
  <c r="D11" i="5"/>
  <c r="F11" i="5" s="1"/>
  <c r="D10" i="5"/>
  <c r="F10" i="5" s="1"/>
  <c r="F58" i="4"/>
  <c r="D58" i="4"/>
  <c r="C48" i="4"/>
  <c r="E46" i="4"/>
  <c r="F46" i="4" s="1"/>
  <c r="D46" i="4"/>
  <c r="D45" i="4"/>
  <c r="F44" i="4"/>
  <c r="D41" i="4"/>
  <c r="F40" i="4"/>
  <c r="F41" i="4" s="1"/>
  <c r="F39" i="4"/>
  <c r="F38" i="4"/>
  <c r="T15" i="4"/>
  <c r="O15" i="4"/>
  <c r="N15" i="4"/>
  <c r="M15" i="4"/>
  <c r="K15" i="4"/>
  <c r="J15" i="4"/>
  <c r="I15" i="4"/>
  <c r="G15" i="4"/>
  <c r="F15" i="4"/>
  <c r="E15" i="4"/>
  <c r="T11" i="4"/>
  <c r="S11" i="4"/>
  <c r="S15" i="4" s="1"/>
  <c r="R11" i="4"/>
  <c r="R15" i="4" s="1"/>
  <c r="O11" i="4"/>
  <c r="N11" i="4"/>
  <c r="M11" i="4"/>
  <c r="P11" i="4" s="1"/>
  <c r="P15" i="4" s="1"/>
  <c r="K11" i="4"/>
  <c r="G8" i="4"/>
  <c r="G17" i="4" s="1"/>
  <c r="I24" i="1" s="1"/>
  <c r="I25" i="1" s="1"/>
  <c r="O17" i="5"/>
  <c r="F8" i="4" s="1"/>
  <c r="F17" i="4" s="1"/>
  <c r="L17" i="5"/>
  <c r="E8" i="4" s="1"/>
  <c r="E17" i="4" s="1"/>
  <c r="B17" i="5"/>
  <c r="N15" i="5"/>
  <c r="I15" i="5"/>
  <c r="F15" i="5"/>
  <c r="I14" i="5"/>
  <c r="F14" i="5"/>
  <c r="I13" i="5"/>
  <c r="I12" i="5"/>
  <c r="I11" i="5"/>
  <c r="I10" i="5"/>
  <c r="A10" i="5"/>
  <c r="A11" i="5" s="1"/>
  <c r="A12" i="5" s="1"/>
  <c r="A13" i="5" s="1"/>
  <c r="A14" i="5" s="1"/>
  <c r="A15" i="5" s="1"/>
  <c r="I22" i="2" l="1"/>
  <c r="K9" i="5"/>
  <c r="I17" i="5"/>
  <c r="K15" i="5"/>
  <c r="D17" i="5"/>
  <c r="D48" i="4"/>
  <c r="E45" i="4"/>
  <c r="E48" i="4" s="1"/>
  <c r="K13" i="5"/>
  <c r="N14" i="5"/>
  <c r="Q15" i="5"/>
  <c r="K12" i="5"/>
  <c r="N12" i="5"/>
  <c r="K10" i="5"/>
  <c r="N9" i="5"/>
  <c r="Q10" i="5"/>
  <c r="N13" i="5"/>
  <c r="Q14" i="5"/>
  <c r="K11" i="5"/>
  <c r="Q13" i="5"/>
  <c r="N11" i="5"/>
  <c r="Q12" i="5"/>
  <c r="F17" i="5"/>
  <c r="D22" i="4" s="1"/>
  <c r="D23" i="4" s="1"/>
  <c r="N10" i="5"/>
  <c r="Q11" i="5"/>
  <c r="Q9" i="5"/>
  <c r="H13" i="5" l="1"/>
  <c r="D8" i="4"/>
  <c r="F45" i="4"/>
  <c r="F48" i="4" s="1"/>
  <c r="H15" i="5"/>
  <c r="H9" i="5"/>
  <c r="H11" i="5"/>
  <c r="H12" i="5"/>
  <c r="H10" i="5"/>
  <c r="H14" i="5"/>
  <c r="D25" i="4" l="1"/>
  <c r="D27" i="4" s="1"/>
  <c r="D31" i="4" s="1"/>
  <c r="I28" i="1" s="1"/>
  <c r="I29" i="1" s="1"/>
  <c r="J8" i="4"/>
  <c r="J17" i="4" s="1"/>
  <c r="I8" i="4"/>
  <c r="I17" i="4" s="1"/>
  <c r="M8" i="4"/>
  <c r="K8" i="4"/>
  <c r="K17" i="4" s="1"/>
  <c r="N8" i="4"/>
  <c r="O8" i="4"/>
  <c r="P8" i="4"/>
  <c r="P17" i="4" s="1"/>
  <c r="I23" i="2" l="1"/>
  <c r="I28" i="2" s="1"/>
  <c r="I50" i="1"/>
  <c r="N17" i="4"/>
  <c r="S8" i="4"/>
  <c r="S17" i="4" s="1"/>
  <c r="O17" i="4"/>
  <c r="T8" i="4"/>
  <c r="T17" i="4" s="1"/>
  <c r="R8" i="4"/>
  <c r="R17" i="4" s="1"/>
  <c r="M17" i="4"/>
  <c r="I9" i="1" l="1"/>
  <c r="I13" i="1" s="1"/>
  <c r="I17" i="1" s="1"/>
  <c r="I177" i="1"/>
  <c r="I188" i="1" s="1"/>
  <c r="I9" i="2"/>
  <c r="I13" i="2" s="1"/>
  <c r="I17" i="2" s="1"/>
  <c r="I45" i="2"/>
  <c r="I49" i="2" s="1"/>
</calcChain>
</file>

<file path=xl/sharedStrings.xml><?xml version="1.0" encoding="utf-8"?>
<sst xmlns="http://schemas.openxmlformats.org/spreadsheetml/2006/main" count="1030" uniqueCount="535">
  <si>
    <t>The American Dream School</t>
  </si>
  <si>
    <t>GenEd and SpEd Student Enrollment Estimates</t>
  </si>
  <si>
    <t>Fiscal Year 2022-23</t>
  </si>
  <si>
    <t>Special Education</t>
  </si>
  <si>
    <t>FY2021-22</t>
  </si>
  <si>
    <t>FY2022-23</t>
  </si>
  <si>
    <t>Enrollment as a % of</t>
  </si>
  <si>
    <t>Enrollment</t>
  </si>
  <si>
    <t>GenEd Enrollment</t>
  </si>
  <si>
    <t>Total GenEd FTE</t>
  </si>
  <si>
    <t>&lt;20%</t>
  </si>
  <si>
    <t>20% - 60%</t>
  </si>
  <si>
    <t>&gt;60%</t>
  </si>
  <si>
    <t>Grade</t>
  </si>
  <si>
    <t>(per Inv # 6)</t>
  </si>
  <si>
    <t>Best Case</t>
  </si>
  <si>
    <t>Attrition %</t>
  </si>
  <si>
    <t>FTE</t>
  </si>
  <si>
    <t>%</t>
  </si>
  <si>
    <t>Fiscal Year 2023-24</t>
  </si>
  <si>
    <t>Category (per FY2023 Inv# 6)</t>
  </si>
  <si>
    <t>Revenue Estimates</t>
  </si>
  <si>
    <t>Tuition Revenue</t>
  </si>
  <si>
    <t>American Recovery Act</t>
  </si>
  <si>
    <t>SpEd</t>
  </si>
  <si>
    <t>ESSER II</t>
  </si>
  <si>
    <t>ARS</t>
  </si>
  <si>
    <t>Combined</t>
  </si>
  <si>
    <t>GenEd</t>
  </si>
  <si>
    <t>20%-60%</t>
  </si>
  <si>
    <t>Year 1</t>
  </si>
  <si>
    <t>Year 2</t>
  </si>
  <si>
    <t>Total</t>
  </si>
  <si>
    <t>Year 3</t>
  </si>
  <si>
    <t>Likely Enrollment</t>
  </si>
  <si>
    <t>Tuition Rates:</t>
  </si>
  <si>
    <t>Lease Assistance</t>
  </si>
  <si>
    <t>Anticipated GenEd Enrollment</t>
  </si>
  <si>
    <t>Adjustments:</t>
  </si>
  <si>
    <t>GenEd Enrollment Adjustments</t>
  </si>
  <si>
    <t>Adjusted GenEd Enrollment</t>
  </si>
  <si>
    <t>Total Estimated GenEd Revenue</t>
  </si>
  <si>
    <t>Lease Assistance Limit:</t>
  </si>
  <si>
    <t>30% of GenEd Revenue</t>
  </si>
  <si>
    <t>Anticipated Lease Assistance</t>
  </si>
  <si>
    <t>Government Grants</t>
  </si>
  <si>
    <t xml:space="preserve">Anticipated </t>
  </si>
  <si>
    <t>Award</t>
  </si>
  <si>
    <t>Federal Grants:</t>
  </si>
  <si>
    <t>IDEA Special Needs</t>
  </si>
  <si>
    <t>Title I</t>
  </si>
  <si>
    <t>Title II</t>
  </si>
  <si>
    <t>Title IV</t>
  </si>
  <si>
    <t>FY2023-24</t>
  </si>
  <si>
    <t>ARP ESSER 3</t>
  </si>
  <si>
    <t>CARES ACT - ESSERF</t>
  </si>
  <si>
    <t xml:space="preserve">CRRSA-ESSER 2 </t>
  </si>
  <si>
    <t>Donations and Other Revenue</t>
  </si>
  <si>
    <t>Contributions and Donations</t>
  </si>
  <si>
    <t>Earnings on Investments</t>
  </si>
  <si>
    <t>Erate Reimbursement</t>
  </si>
  <si>
    <t>Interest Income</t>
  </si>
  <si>
    <t>FY2022-23 Rates</t>
  </si>
  <si>
    <r>
      <t xml:space="preserve">Possible FY2023-24 </t>
    </r>
    <r>
      <rPr>
        <b/>
        <u/>
        <sz val="11"/>
        <color rgb="FFC00000"/>
        <rFont val="Arial Narrow"/>
        <family val="2"/>
      </rPr>
      <t>$</t>
    </r>
    <r>
      <rPr>
        <sz val="11"/>
        <color theme="1"/>
        <rFont val="Arial Narrow"/>
        <family val="2"/>
      </rPr>
      <t xml:space="preserve"> Change</t>
    </r>
  </si>
  <si>
    <r>
      <t xml:space="preserve">Possible FY2023-24 </t>
    </r>
    <r>
      <rPr>
        <b/>
        <u/>
        <sz val="11"/>
        <color rgb="FFC00000"/>
        <rFont val="Arial Narrow"/>
        <family val="2"/>
      </rPr>
      <t>%</t>
    </r>
    <r>
      <rPr>
        <sz val="11"/>
        <color theme="1"/>
        <rFont val="Arial Narrow"/>
        <family val="2"/>
      </rPr>
      <t xml:space="preserve"> Change</t>
    </r>
  </si>
  <si>
    <t>Actual FY2023-24 Lease Payments Due</t>
  </si>
  <si>
    <t>Deferred Rent Schedule</t>
  </si>
  <si>
    <t># of Months</t>
  </si>
  <si>
    <t>Average Rent</t>
  </si>
  <si>
    <t>Deferred Amount</t>
  </si>
  <si>
    <t>Lease Year</t>
  </si>
  <si>
    <t>In Period</t>
  </si>
  <si>
    <t>Monthly Rent</t>
  </si>
  <si>
    <t>Annual Rent</t>
  </si>
  <si>
    <t>Monthly</t>
  </si>
  <si>
    <t>Annually</t>
  </si>
  <si>
    <t>Cumulative</t>
  </si>
  <si>
    <t>August 1, 2020 - June 30, 2022</t>
  </si>
  <si>
    <t>July 1, 2021 - June 30, 2022</t>
  </si>
  <si>
    <t>July 1, 2022 - June 30, 2023</t>
  </si>
  <si>
    <t>July 1, 2023 - June 30, 2024</t>
  </si>
  <si>
    <t>July 1, 2024 - June 30, 2025</t>
  </si>
  <si>
    <t>July 1, 2025 - June 30, 2026</t>
  </si>
  <si>
    <t>July 1, 2026 - June 30, 2027</t>
  </si>
  <si>
    <t>July 1, 2027 - June 30, 2028</t>
  </si>
  <si>
    <t>July 1, 2028 - June 30, 2029</t>
  </si>
  <si>
    <t>July 2029 - June 30, 2030</t>
  </si>
  <si>
    <t>July 2030 - June 30, 2031</t>
  </si>
  <si>
    <t>July 2031 - June 30, 2032</t>
  </si>
  <si>
    <t>July 2032 - June 30, 2033</t>
  </si>
  <si>
    <t>July 2033 - June 30, 2034</t>
  </si>
  <si>
    <t>July 2034 - June 30, 2035</t>
  </si>
  <si>
    <t>July 2035 - June 30, 2036</t>
  </si>
  <si>
    <t>July 2036 - June 30, 2037</t>
  </si>
  <si>
    <t>July 2037 - June 30, 2038</t>
  </si>
  <si>
    <t>July 2038 - June 30, 2039</t>
  </si>
  <si>
    <t>July 2039 - June 30, 2040</t>
  </si>
  <si>
    <t>July 2040 - June 30, 2041</t>
  </si>
  <si>
    <t>July 2041 - June 30, 2042</t>
  </si>
  <si>
    <t>July 2042 - June 30, 2043</t>
  </si>
  <si>
    <t>July 2043 - June 30, 2044</t>
  </si>
  <si>
    <t>July 2044 - June 30, 2045</t>
  </si>
  <si>
    <t>July 2045 - June 30, 2046</t>
  </si>
  <si>
    <t>July 2046 - June 30, 2047</t>
  </si>
  <si>
    <t>July 2047 - April 29, 2048</t>
  </si>
  <si>
    <t>Budgeted Professional Services</t>
  </si>
  <si>
    <t>Covered by Federal Grants</t>
  </si>
  <si>
    <t>Non -</t>
  </si>
  <si>
    <t>Forecast</t>
  </si>
  <si>
    <t>Budget</t>
  </si>
  <si>
    <t>CARES Act</t>
  </si>
  <si>
    <t>ESSER III</t>
  </si>
  <si>
    <t>Federal</t>
  </si>
  <si>
    <t>Professionals Services:</t>
  </si>
  <si>
    <t xml:space="preserve">Accounting and Audit </t>
  </si>
  <si>
    <t>Legal</t>
  </si>
  <si>
    <t>Special Ed Services</t>
  </si>
  <si>
    <t>Other Purchased Services</t>
  </si>
  <si>
    <t>Payroll Services</t>
  </si>
  <si>
    <t>Summary of Insurance Coverage In Place</t>
  </si>
  <si>
    <t>Type</t>
  </si>
  <si>
    <t>Carrier</t>
  </si>
  <si>
    <t>Term</t>
  </si>
  <si>
    <t>Premium</t>
  </si>
  <si>
    <t>Limits</t>
  </si>
  <si>
    <t>Property</t>
  </si>
  <si>
    <t>Hartford</t>
  </si>
  <si>
    <t>7/1/2022 to 6/30/2023</t>
  </si>
  <si>
    <t>Business Personal Property: $632,000; Contents: $1,000,000</t>
  </si>
  <si>
    <t>Business Income: $1,000,000; Crime (Theft) $350,000; Forgery $275,000</t>
  </si>
  <si>
    <t>Automobile</t>
  </si>
  <si>
    <t>Hired &amp; Non-Owned Liability - $1,000,000</t>
  </si>
  <si>
    <t>Excess Crime</t>
  </si>
  <si>
    <t>Travelers</t>
  </si>
  <si>
    <t>Employee Theft - $1,000,000; Computer Fraud - $1,000,000;</t>
  </si>
  <si>
    <t>Funds Transfer Fraud - $1,000,000</t>
  </si>
  <si>
    <t>Directors and Officers</t>
  </si>
  <si>
    <t>Great American</t>
  </si>
  <si>
    <t>Educators Legal Liability - $1,000,000; Workplace Violence: $100,000;</t>
  </si>
  <si>
    <t>Employment Practices: $1,000,000; Fiduciary Liability: $1,000,000</t>
  </si>
  <si>
    <t>General Liability</t>
  </si>
  <si>
    <t>United Educators</t>
  </si>
  <si>
    <t>Any 1 Occurrence: $1,000,000; Annual Aggregate: $3,000,000</t>
  </si>
  <si>
    <t>Excess Liability</t>
  </si>
  <si>
    <t>Any 1 Occurrence: $10,000,000; Annual Aggregate: $10,000,000</t>
  </si>
  <si>
    <t>Excess D&amp;O</t>
  </si>
  <si>
    <t>Educators Legal Liability: $10,000,000</t>
  </si>
  <si>
    <t>Excess Fiduciary Liability</t>
  </si>
  <si>
    <t>Annual Aggregate: $3,000,000</t>
  </si>
  <si>
    <t>Student Accident</t>
  </si>
  <si>
    <t>Philabelphia</t>
  </si>
  <si>
    <t>Accident Medical Expense: $50,000</t>
  </si>
  <si>
    <t>Catastrophic Student Accident</t>
  </si>
  <si>
    <t>Accident Medical Expense: $3,000,000</t>
  </si>
  <si>
    <t>Workers Compensation</t>
  </si>
  <si>
    <t>Not applicable</t>
  </si>
  <si>
    <t>The American Dream Charter School I</t>
  </si>
  <si>
    <t>Increase</t>
  </si>
  <si>
    <t>FY2023-24 Estimate</t>
  </si>
  <si>
    <t>Summary Statements of Revenue, Support and Expenses at Period Ending March 31, 2023</t>
  </si>
  <si>
    <t>with Fiscal Year Ended June 30, 2022 Budget v Actuals</t>
  </si>
  <si>
    <t>Approved</t>
  </si>
  <si>
    <t>Actual as a % of</t>
  </si>
  <si>
    <t>Proposed</t>
  </si>
  <si>
    <t>Actuals</t>
  </si>
  <si>
    <t>Total Revenue</t>
  </si>
  <si>
    <t>Total Expenses</t>
  </si>
  <si>
    <t>Net Operating Position before GAAP Adjustments</t>
  </si>
  <si>
    <t>GAAP Adjustments</t>
  </si>
  <si>
    <t>Net Operating Position after GAAP Adjustments</t>
  </si>
  <si>
    <t>Student Enrollment</t>
  </si>
  <si>
    <t>Revenue and Support</t>
  </si>
  <si>
    <t>Tuition Revenue:</t>
  </si>
  <si>
    <t>GenEd Tuition</t>
  </si>
  <si>
    <t>SpEd Tuition</t>
  </si>
  <si>
    <t>State and City Government Grants:</t>
  </si>
  <si>
    <t>Stimulus</t>
  </si>
  <si>
    <t>NYC DoE Lease Assistance</t>
  </si>
  <si>
    <t>Federal Government Grants</t>
  </si>
  <si>
    <t>Other Federal Sources (PPP, CARES Act, ESSER II and ESSER III)</t>
  </si>
  <si>
    <t>Donations and Contributions:</t>
  </si>
  <si>
    <t>Individuals</t>
  </si>
  <si>
    <t>Corporations</t>
  </si>
  <si>
    <t>Foundations and Charitable Trusts</t>
  </si>
  <si>
    <t>Fundraising</t>
  </si>
  <si>
    <t>Other Sources of Revenue and Support:</t>
  </si>
  <si>
    <t>Interest and Dividends and Other Income</t>
  </si>
  <si>
    <t>Gains/(Losses) on Investments</t>
  </si>
  <si>
    <t>Donated Goods and Services</t>
  </si>
  <si>
    <t>Total Support and Revenue</t>
  </si>
  <si>
    <t>Expenses</t>
  </si>
  <si>
    <t>Staff Salaries and Wages:</t>
  </si>
  <si>
    <t>Administrative Staff:</t>
  </si>
  <si>
    <t>Executive Management</t>
  </si>
  <si>
    <t>Instructional Management</t>
  </si>
  <si>
    <t>Deans, Directors &amp; Coordinators</t>
  </si>
  <si>
    <t>Director of Operations</t>
  </si>
  <si>
    <t>Operation Manager</t>
  </si>
  <si>
    <t>Administrative Staff</t>
  </si>
  <si>
    <t>Instructional Staff:</t>
  </si>
  <si>
    <t>Teachers - Regular</t>
  </si>
  <si>
    <t>Teachers - SPED</t>
  </si>
  <si>
    <t>Substitute Teachers</t>
  </si>
  <si>
    <t>Teaching Assistants</t>
  </si>
  <si>
    <t>Aides</t>
  </si>
  <si>
    <t>Art Teacher</t>
  </si>
  <si>
    <t>Music Teacher</t>
  </si>
  <si>
    <t>Gym Teacher</t>
  </si>
  <si>
    <t>Spanish Teacher</t>
  </si>
  <si>
    <t>Therapists &amp; Counselors</t>
  </si>
  <si>
    <t>Afterschool</t>
  </si>
  <si>
    <t>Non-Instructional Staff:</t>
  </si>
  <si>
    <t>Custodian</t>
  </si>
  <si>
    <t>Security</t>
  </si>
  <si>
    <t>Other</t>
  </si>
  <si>
    <t>Additional Payments and Incentives:</t>
  </si>
  <si>
    <t>Sports Coaching</t>
  </si>
  <si>
    <t>Science Olympiad</t>
  </si>
  <si>
    <t>Living Environment</t>
  </si>
  <si>
    <t>Summer School</t>
  </si>
  <si>
    <t>Coverage</t>
  </si>
  <si>
    <t>Advisory Committee</t>
  </si>
  <si>
    <t>Lunch Duty</t>
  </si>
  <si>
    <t>Study Hall</t>
  </si>
  <si>
    <t>Spring Bonus</t>
  </si>
  <si>
    <t>Total Salaries and Wages</t>
  </si>
  <si>
    <t>Payroll Taxes:</t>
  </si>
  <si>
    <t>Employer FICA, Unemployment, Disability, Workers Comp</t>
  </si>
  <si>
    <t>Fringe Benefits:</t>
  </si>
  <si>
    <t>Medical, Dental and Vision</t>
  </si>
  <si>
    <t>Retirement Plan Match</t>
  </si>
  <si>
    <t>Total Payroll Taxes and Benefits</t>
  </si>
  <si>
    <t>Academic Operations:</t>
  </si>
  <si>
    <t>Classroom / Teaching Supplies &amp; Materials</t>
  </si>
  <si>
    <t>Special Ed Supplies &amp; Materials</t>
  </si>
  <si>
    <t>Textbooks / Workbooks</t>
  </si>
  <si>
    <t>Classroom Equipment and Furniture</t>
  </si>
  <si>
    <t>Student Testing &amp; Assessment</t>
  </si>
  <si>
    <t>Field Trips</t>
  </si>
  <si>
    <t>Student Services</t>
  </si>
  <si>
    <t>Transportation (student)</t>
  </si>
  <si>
    <t>Clinical Supervision</t>
  </si>
  <si>
    <t>Staff Services</t>
  </si>
  <si>
    <t>Nurse Services</t>
  </si>
  <si>
    <t>Student Uniforms</t>
  </si>
  <si>
    <t>School Meals</t>
  </si>
  <si>
    <t>Student Recruitment</t>
  </si>
  <si>
    <t>Marketing and Advertising</t>
  </si>
  <si>
    <t>Memberships</t>
  </si>
  <si>
    <t>Alumni Activities</t>
  </si>
  <si>
    <t>Recruitment and Professional Development:</t>
  </si>
  <si>
    <t>Staff Development</t>
  </si>
  <si>
    <t>Staff Recruitment</t>
  </si>
  <si>
    <t>Travel (Staff)</t>
  </si>
  <si>
    <t>Information Technology:</t>
  </si>
  <si>
    <t>Internet Services</t>
  </si>
  <si>
    <t>Website Development and Maintenance</t>
  </si>
  <si>
    <t>Telephone &amp; Internet</t>
  </si>
  <si>
    <t>Technology</t>
  </si>
  <si>
    <t>Computer Equipment, Supplies and Accessories</t>
  </si>
  <si>
    <t>Software</t>
  </si>
  <si>
    <t>Administrative Expenses:</t>
  </si>
  <si>
    <t>Office Expense</t>
  </si>
  <si>
    <t>Postage and Shipping</t>
  </si>
  <si>
    <t>Board Expenses</t>
  </si>
  <si>
    <t>Office Equipment Rent/Lease</t>
  </si>
  <si>
    <t>Staff Events</t>
  </si>
  <si>
    <t>Staff Meals</t>
  </si>
  <si>
    <t xml:space="preserve">Office Furniture and Equipment </t>
  </si>
  <si>
    <t>General Insurance:</t>
  </si>
  <si>
    <t>Directors and Officers, Liability, Property and Content</t>
  </si>
  <si>
    <t xml:space="preserve">General Liability </t>
  </si>
  <si>
    <t xml:space="preserve">Professional Liability </t>
  </si>
  <si>
    <t>Property and Content</t>
  </si>
  <si>
    <t>Facility Operations:</t>
  </si>
  <si>
    <t>Rent</t>
  </si>
  <si>
    <t>Utilities</t>
  </si>
  <si>
    <t>Storage and Moving</t>
  </si>
  <si>
    <t xml:space="preserve">Repairs &amp; Maintenance </t>
  </si>
  <si>
    <t>Building Furniture and Equipment</t>
  </si>
  <si>
    <t>Janitorial Services and Supplies</t>
  </si>
  <si>
    <t>Other Expenses:</t>
  </si>
  <si>
    <t>Bad Debt</t>
  </si>
  <si>
    <t>Interest and Finance Charges</t>
  </si>
  <si>
    <t>Total Operating Expenses</t>
  </si>
  <si>
    <t>Excess/(Deficit) of Revenue over Expenses before GAAP Adjustments</t>
  </si>
  <si>
    <t>Add:</t>
  </si>
  <si>
    <t>Capital Expenses</t>
  </si>
  <si>
    <t>Less:</t>
  </si>
  <si>
    <t>Deferred Rent</t>
  </si>
  <si>
    <t>Depreciation</t>
  </si>
  <si>
    <t>Total GAAP Adjustments</t>
  </si>
  <si>
    <t>Excess/(Deficit) of Revenue over Expenses after GAAP Adjustments</t>
  </si>
  <si>
    <t>Current</t>
  </si>
  <si>
    <t>Anticipated FY2023-24 Rates</t>
  </si>
  <si>
    <t>Fiscal Year 2021-22</t>
  </si>
  <si>
    <t>Audited</t>
  </si>
  <si>
    <t>Actual at</t>
  </si>
  <si>
    <t>In addition to budgeted salaries</t>
  </si>
  <si>
    <t>Assume a 10% increase over FY23-24</t>
  </si>
  <si>
    <t>Assume a 5% increase over FY2023-24</t>
  </si>
  <si>
    <t>FY22-23</t>
  </si>
  <si>
    <t>DRAFT Proposed Operating Budget - Detailed</t>
  </si>
  <si>
    <t>with Fiscal Year 2023 Year-to-Date Actuals and Forecast</t>
  </si>
  <si>
    <t>State and City Government Grants</t>
  </si>
  <si>
    <t>Donations and Contributions</t>
  </si>
  <si>
    <t>Other Sources of Revenue and Support</t>
  </si>
  <si>
    <t>Total Revenue and Support</t>
  </si>
  <si>
    <t>Staff Salaries and Wages</t>
  </si>
  <si>
    <t>Payroll Taxes</t>
  </si>
  <si>
    <t>Fringe Benefits</t>
  </si>
  <si>
    <t>Professionals Services</t>
  </si>
  <si>
    <t>Academic Operations</t>
  </si>
  <si>
    <t>Recruitment and Professional Development</t>
  </si>
  <si>
    <t>Information Technology</t>
  </si>
  <si>
    <t>Administrative Expenses</t>
  </si>
  <si>
    <t>General Insurance</t>
  </si>
  <si>
    <t>Facility Operations</t>
  </si>
  <si>
    <t>Other Expenses</t>
  </si>
  <si>
    <r>
      <t xml:space="preserve">Excess/(Deficit) of Revenue over Expenses </t>
    </r>
    <r>
      <rPr>
        <b/>
        <i/>
        <u/>
        <sz val="11"/>
        <color theme="1"/>
        <rFont val="Arial Narrow"/>
        <family val="2"/>
      </rPr>
      <t>before</t>
    </r>
    <r>
      <rPr>
        <b/>
        <sz val="11"/>
        <color theme="1"/>
        <rFont val="Arial Narrow"/>
        <family val="2"/>
      </rPr>
      <t xml:space="preserve"> GAAP Adjustments</t>
    </r>
  </si>
  <si>
    <r>
      <t xml:space="preserve">Excess/(Deficit) of Revenue over Expenses </t>
    </r>
    <r>
      <rPr>
        <b/>
        <i/>
        <u/>
        <sz val="11"/>
        <color theme="1"/>
        <rFont val="Arial Narrow"/>
        <family val="2"/>
      </rPr>
      <t>after</t>
    </r>
    <r>
      <rPr>
        <b/>
        <sz val="11"/>
        <color theme="1"/>
        <rFont val="Arial Narrow"/>
        <family val="2"/>
      </rPr>
      <t xml:space="preserve"> GAAP Adjustments</t>
    </r>
  </si>
  <si>
    <t>Notes</t>
  </si>
  <si>
    <t>From the 6th invoice</t>
  </si>
  <si>
    <t>From the 6th invoice (Lease Assistance)</t>
  </si>
  <si>
    <t>Use the projected grant rev for 22-23</t>
  </si>
  <si>
    <t>Take the interest of March and estimate for 4-6</t>
  </si>
  <si>
    <t>Notes for the forecast</t>
  </si>
  <si>
    <t>Count</t>
  </si>
  <si>
    <t>Employee Name</t>
  </si>
  <si>
    <t>GL Code</t>
  </si>
  <si>
    <t>Position</t>
  </si>
  <si>
    <t>Salary</t>
  </si>
  <si>
    <t>Martinez, Anna E</t>
  </si>
  <si>
    <t>Instructional</t>
  </si>
  <si>
    <t>53700 · Therapists &amp; Counselors</t>
  </si>
  <si>
    <t>HS College Counselor</t>
  </si>
  <si>
    <t>Vacant (S. Cordero)</t>
  </si>
  <si>
    <t>Non-Instructional</t>
  </si>
  <si>
    <t>Diaz-Lopez, Yesenia M</t>
  </si>
  <si>
    <t>MS Social Worker</t>
  </si>
  <si>
    <t>Edwards Perry Malkese</t>
  </si>
  <si>
    <t>Hernandez, Vanessa I</t>
  </si>
  <si>
    <t>HS Social Worker</t>
  </si>
  <si>
    <t>Smith, Jacquelin</t>
  </si>
  <si>
    <t>MS School Counselor</t>
  </si>
  <si>
    <t>Vacant (J. Ziel)</t>
  </si>
  <si>
    <t>High School Social Worker</t>
  </si>
  <si>
    <t>Brito, Reimmy</t>
  </si>
  <si>
    <t>53600 · Aides</t>
  </si>
  <si>
    <t>MS School Aide</t>
  </si>
  <si>
    <t>Delgado Castillo, Ginger Tamara</t>
  </si>
  <si>
    <t>Guity, Jose</t>
  </si>
  <si>
    <t>HS School Aide</t>
  </si>
  <si>
    <t>Pedro-Rodriguez, Juana</t>
  </si>
  <si>
    <t>53100 · Teachers - Regular</t>
  </si>
  <si>
    <t>HS Aide</t>
  </si>
  <si>
    <t>Allen, Alexis</t>
  </si>
  <si>
    <t>MS Humanities Teacher</t>
  </si>
  <si>
    <t>Alvarez, Jose Javier</t>
  </si>
  <si>
    <t>Math Interventionist + Math Dept. Chair</t>
  </si>
  <si>
    <t>Vacant (A. Ayala)</t>
  </si>
  <si>
    <t>53200 · Teachers - SPED</t>
  </si>
  <si>
    <t>MS Spanish + GLT</t>
  </si>
  <si>
    <t>Baky, Hephzibah</t>
  </si>
  <si>
    <t>53560 · Spanish Teacher</t>
  </si>
  <si>
    <t>MS Spanish Teacher</t>
  </si>
  <si>
    <t>Bengtson, Kayla Renae</t>
  </si>
  <si>
    <t>ESL Teacher</t>
  </si>
  <si>
    <t>Bishop-Alexander, Phillippa</t>
  </si>
  <si>
    <t>MS Math Teacher</t>
  </si>
  <si>
    <t>Vacant C. Berrora)</t>
  </si>
  <si>
    <t>HS Teacher</t>
  </si>
  <si>
    <t>Buelto, Jorge</t>
  </si>
  <si>
    <t>Algebra II Teacher</t>
  </si>
  <si>
    <t>Chemplavil, Sapna</t>
  </si>
  <si>
    <t>HS English Teacher</t>
  </si>
  <si>
    <t>Ciccotti, Susan</t>
  </si>
  <si>
    <t>Collado, Brian</t>
  </si>
  <si>
    <t>Spanish 7 Teacher + GLT</t>
  </si>
  <si>
    <t>Cuello, Stacey</t>
  </si>
  <si>
    <t>MS Art TEACHER</t>
  </si>
  <si>
    <t>Davila Caporal, Karina</t>
  </si>
  <si>
    <t>HS History Teacher</t>
  </si>
  <si>
    <t>De La Cruz, Emely</t>
  </si>
  <si>
    <t>HS Spanish Teacher</t>
  </si>
  <si>
    <t>De La Fuente, Kassandra</t>
  </si>
  <si>
    <t>MS PBL Teacher</t>
  </si>
  <si>
    <t>De Leon, Elba</t>
  </si>
  <si>
    <t>HS Guidance Counselor </t>
  </si>
  <si>
    <t>Diaz-Chea, Susan</t>
  </si>
  <si>
    <t>Geometry 10 Teacher</t>
  </si>
  <si>
    <t>Feliz Perdomo, Alejandro Jose</t>
  </si>
  <si>
    <t>High School Math + Dept Chair</t>
  </si>
  <si>
    <t>Fleischman, Maxwell Nathan</t>
  </si>
  <si>
    <t>Math 7 Teacher</t>
  </si>
  <si>
    <t>Garcia, Jesus</t>
  </si>
  <si>
    <t>HS Director</t>
  </si>
  <si>
    <t>Graham, Tatyana</t>
  </si>
  <si>
    <t>MS PBL 8 Teacher </t>
  </si>
  <si>
    <t>Guerrero, Andrea</t>
  </si>
  <si>
    <t>Hernandez, Ulysses</t>
  </si>
  <si>
    <t>HS Math Teacher</t>
  </si>
  <si>
    <t>Hicks, Lewis</t>
  </si>
  <si>
    <t>53550 · Gym Teacher</t>
  </si>
  <si>
    <t>Middle School PE Teacher</t>
  </si>
  <si>
    <t>Inshan, Ahmad Irshad</t>
  </si>
  <si>
    <t>Physics and Chemistry Teacher + Dept Chair</t>
  </si>
  <si>
    <t>Islam, Shahjada</t>
  </si>
  <si>
    <t>HS Math SpEd Teacher</t>
  </si>
  <si>
    <t>Jimenez Ciprian, Erika</t>
  </si>
  <si>
    <t>PBL 6th + Dept Chair</t>
  </si>
  <si>
    <t>Vacant (j. Blumberg)</t>
  </si>
  <si>
    <t>HS Science Teacher</t>
  </si>
  <si>
    <t>Vacant (S. Loewentheil)</t>
  </si>
  <si>
    <t>Lopez, Leslie Ann</t>
  </si>
  <si>
    <t>HS Teacher + Dept Chair</t>
  </si>
  <si>
    <t>Lora, Ashley Mary</t>
  </si>
  <si>
    <t>MS Teacher</t>
  </si>
  <si>
    <t>Mann, Melissa Rose</t>
  </si>
  <si>
    <t>Marshall, Quentin</t>
  </si>
  <si>
    <t>High School Science Teacher</t>
  </si>
  <si>
    <t>Martinez Eulogio, Israel</t>
  </si>
  <si>
    <t>Spanish 7 Teacher</t>
  </si>
  <si>
    <t>Ocampo, Marlon G</t>
  </si>
  <si>
    <t>Pancho-Cuahutle, Diego</t>
  </si>
  <si>
    <t>Living Environment and Earth Science Teacher</t>
  </si>
  <si>
    <t>Parrales, Harold</t>
  </si>
  <si>
    <t>Spanish 6 Teacher</t>
  </si>
  <si>
    <t>Paulsen, Rebecca</t>
  </si>
  <si>
    <t>MS Reading Interventionist</t>
  </si>
  <si>
    <t>Perez-Sarto, Carlos</t>
  </si>
  <si>
    <t>Spanish 8th Teacher + Dept Chair</t>
  </si>
  <si>
    <t>Pierre, David</t>
  </si>
  <si>
    <t>HS Health Teacher</t>
  </si>
  <si>
    <t>Pimentel, Paola M</t>
  </si>
  <si>
    <t>Portorreal, Maria</t>
  </si>
  <si>
    <t>Vacant (M. Pugliese)</t>
  </si>
  <si>
    <t>HS TEACHER</t>
  </si>
  <si>
    <t>Quizhpe, Johanna</t>
  </si>
  <si>
    <t>Spanish 9 Teacher + Dept. Chair + Student Co. + Seal of Biliteracy</t>
  </si>
  <si>
    <t>Roque, Yamilka</t>
  </si>
  <si>
    <t>English 10 Teacher + Dept Chair</t>
  </si>
  <si>
    <t>Samalot, Agnes G</t>
  </si>
  <si>
    <t>PBL 7 Teacher</t>
  </si>
  <si>
    <t>Sanchez, Felix</t>
  </si>
  <si>
    <t>US History Teacher + Dept Chair</t>
  </si>
  <si>
    <t>Schwartz, Ethan</t>
  </si>
  <si>
    <t>HS Physical Ed Teacher</t>
  </si>
  <si>
    <t>Vacant (H. Shahbain)</t>
  </si>
  <si>
    <t>HS PE Teacher </t>
  </si>
  <si>
    <t>Shavel, Cody</t>
  </si>
  <si>
    <t>PBL 7 Teacher + GLT</t>
  </si>
  <si>
    <t>Vacant (C. Simmons)</t>
  </si>
  <si>
    <t>Vacant (A. Smith)</t>
  </si>
  <si>
    <t>US History Teacher</t>
  </si>
  <si>
    <t>Soria, Diana</t>
  </si>
  <si>
    <t>Stiller, Jessie</t>
  </si>
  <si>
    <t>History 9 Teacher</t>
  </si>
  <si>
    <t>Morales, Israel</t>
  </si>
  <si>
    <t>Cabrera, Stephanie</t>
  </si>
  <si>
    <t>Benoit, Brandon</t>
  </si>
  <si>
    <t>Tankersley, Charles</t>
  </si>
  <si>
    <t>Galvez, Lesli</t>
  </si>
  <si>
    <t>Villafranco, Abigail</t>
  </si>
  <si>
    <t>MS TEACHER</t>
  </si>
  <si>
    <t>Vacant (C. Pinero)</t>
  </si>
  <si>
    <t>53400 · Teaching Assistants</t>
  </si>
  <si>
    <t>Teaching Assistant</t>
  </si>
  <si>
    <t>Vacant (S. Feyrera)</t>
  </si>
  <si>
    <t>MS Teacher Assistant</t>
  </si>
  <si>
    <t>Ramirez, Juan J</t>
  </si>
  <si>
    <t>Student Support</t>
  </si>
  <si>
    <t>Villafranco, Molly</t>
  </si>
  <si>
    <t>Speech Therapist</t>
  </si>
  <si>
    <t>Baez, Kateri</t>
  </si>
  <si>
    <t>51600 · Administrative Staff</t>
  </si>
  <si>
    <t>HS Admin</t>
  </si>
  <si>
    <t>Banuelos, Beatriz</t>
  </si>
  <si>
    <t>51200 · Instructional Management</t>
  </si>
  <si>
    <t>Middle School Director</t>
  </si>
  <si>
    <t>Brice, Dominic</t>
  </si>
  <si>
    <t>55400 · Security</t>
  </si>
  <si>
    <t>HS Security </t>
  </si>
  <si>
    <t>Castro, Franklin</t>
  </si>
  <si>
    <t>MS Tech Support</t>
  </si>
  <si>
    <t>Degiorgio, Nicole</t>
  </si>
  <si>
    <t>51300 · Deans, Directors &amp; Coordinators</t>
  </si>
  <si>
    <t>MS Dean of School Culture</t>
  </si>
  <si>
    <t>Duque, Michael Anthony</t>
  </si>
  <si>
    <t>MS Director of Curriculum</t>
  </si>
  <si>
    <t>Gallagher, Nicholas Bertucci</t>
  </si>
  <si>
    <t>51100 · Executive Management</t>
  </si>
  <si>
    <t>Chief of Staff</t>
  </si>
  <si>
    <t>Garcia, Jorge Luis</t>
  </si>
  <si>
    <t>HS Dean of School Culture</t>
  </si>
  <si>
    <t>Hernandez, Lucas</t>
  </si>
  <si>
    <t>55900 · Other Non Instructional Staff</t>
  </si>
  <si>
    <t>System Analyst</t>
  </si>
  <si>
    <t>Hernandez, Michelle</t>
  </si>
  <si>
    <t>Jimenez, Eddie M</t>
  </si>
  <si>
    <t>Director of Student and Family Success</t>
  </si>
  <si>
    <t>Peralta, Maria</t>
  </si>
  <si>
    <t>51400 · Director of Operations</t>
  </si>
  <si>
    <t>MS Operations Manager</t>
  </si>
  <si>
    <t>Lora, Noe</t>
  </si>
  <si>
    <t>Security Guard</t>
  </si>
  <si>
    <t>Marcano, Eddie</t>
  </si>
  <si>
    <t>55300 · Custodian</t>
  </si>
  <si>
    <t>Melkonian, Melissa</t>
  </si>
  <si>
    <t>Head of School</t>
  </si>
  <si>
    <t>Miranda, Candace Renita</t>
  </si>
  <si>
    <t>High School Operations Manager</t>
  </si>
  <si>
    <t>Miranda, Gregorio</t>
  </si>
  <si>
    <t>HS Assistant Director</t>
  </si>
  <si>
    <t>Rivera, Benjamin</t>
  </si>
  <si>
    <t>HS Custodian</t>
  </si>
  <si>
    <t>Rivera, Joshua</t>
  </si>
  <si>
    <t>HS Facilities Manager</t>
  </si>
  <si>
    <t>Sanchez, Noel</t>
  </si>
  <si>
    <t>HS Assistant Dean of School Culture</t>
  </si>
  <si>
    <t>Urena, Gissely</t>
  </si>
  <si>
    <t>Vazquez, Erick D</t>
  </si>
  <si>
    <t>Zermeno, Maricela</t>
  </si>
  <si>
    <t>Vargas, Edwin</t>
  </si>
  <si>
    <t>HS Tech Support</t>
  </si>
  <si>
    <t>Johnson, Elia</t>
  </si>
  <si>
    <t>Lopez, Evelyn</t>
  </si>
  <si>
    <t xml:space="preserve">Castro, Franklin </t>
  </si>
  <si>
    <t>Robinson, Gisselle</t>
  </si>
  <si>
    <t>Teach, Tracy R</t>
  </si>
  <si>
    <t>Director of Special Populations</t>
  </si>
  <si>
    <t>Anticipated 594 GenEd Enrollment</t>
  </si>
  <si>
    <t>Notes for Budget</t>
  </si>
  <si>
    <t>Based on Nick's estimate</t>
  </si>
  <si>
    <t>Longervity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</si>
</sst>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  <numFmt numFmtId="168" formatCode="0.0000"/>
  </numFmts>
  <fonts count="33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4"/>
      <color rgb="FF0070C0"/>
      <name val="Arial Narrow"/>
      <family val="2"/>
    </font>
    <font>
      <b/>
      <u/>
      <sz val="11"/>
      <color rgb="FFC00000"/>
      <name val="Arial Narrow"/>
      <family val="2"/>
    </font>
    <font>
      <sz val="11"/>
      <color rgb="FFC00000"/>
      <name val="Arial Narrow"/>
      <family val="2"/>
    </font>
    <font>
      <b/>
      <sz val="11"/>
      <color rgb="FF0070C0"/>
      <name val="Arial Narrow"/>
      <family val="2"/>
    </font>
    <font>
      <i/>
      <sz val="11"/>
      <color theme="1"/>
      <name val="Arial Narrow"/>
      <family val="2"/>
    </font>
    <font>
      <b/>
      <i/>
      <sz val="11"/>
      <color rgb="FF0070C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6"/>
      <name val="Arial Narrow"/>
      <family val="2"/>
    </font>
    <font>
      <b/>
      <u/>
      <sz val="11"/>
      <name val="Arial Narrow"/>
      <family val="2"/>
    </font>
    <font>
      <b/>
      <sz val="11"/>
      <color rgb="FFC00000"/>
      <name val="Arial Narrow"/>
      <family val="2"/>
    </font>
    <font>
      <sz val="11"/>
      <color indexed="8"/>
      <name val="Arial Narrow"/>
      <family val="2"/>
    </font>
    <font>
      <sz val="18"/>
      <color theme="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color rgb="FF0070C0"/>
      <name val="Arial Narrow"/>
      <family val="2"/>
    </font>
    <font>
      <b/>
      <i/>
      <u/>
      <sz val="11"/>
      <color theme="1"/>
      <name val="Arial Narrow"/>
      <family val="2"/>
    </font>
    <font>
      <i/>
      <sz val="11"/>
      <color rgb="FF0070C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8" tint="-0.249977111117893"/>
      <name val="Arial Narrow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7" tint="0.5999938962981048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7" tint="0.59999389629810485"/>
        <bgColor rgb="FFE2EFD9"/>
      </patternFill>
    </fill>
    <fill>
      <patternFill patternType="solid">
        <fgColor rgb="FFFFFF00"/>
        <bgColor rgb="FFE2EFD9"/>
      </patternFill>
    </fill>
    <fill>
      <patternFill patternType="solid">
        <fgColor theme="7" tint="0.59999389629810485"/>
        <bgColor rgb="FFD6DCE4"/>
      </patternFill>
    </fill>
    <fill>
      <patternFill patternType="solid">
        <fgColor theme="2" tint="-0.14999847407452621"/>
        <bgColor rgb="FFD6DCE4"/>
      </patternFill>
    </fill>
    <fill>
      <patternFill patternType="solid">
        <fgColor theme="2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2" borderId="1" xfId="0" applyFill="1" applyBorder="1"/>
    <xf numFmtId="0" fontId="0" fillId="3" borderId="0" xfId="0" applyFill="1"/>
    <xf numFmtId="0" fontId="2" fillId="0" borderId="0" xfId="0" applyFont="1" applyAlignment="1">
      <alignment horizontal="center"/>
    </xf>
    <xf numFmtId="0" fontId="0" fillId="2" borderId="3" xfId="0" applyFill="1" applyBorder="1"/>
    <xf numFmtId="0" fontId="0" fillId="6" borderId="1" xfId="0" applyFill="1" applyBorder="1"/>
    <xf numFmtId="0" fontId="2" fillId="0" borderId="0" xfId="0" applyFont="1"/>
    <xf numFmtId="0" fontId="2" fillId="2" borderId="3" xfId="0" applyFont="1" applyFill="1" applyBorder="1"/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/>
    <xf numFmtId="0" fontId="5" fillId="0" borderId="0" xfId="0" applyFont="1" applyAlignment="1">
      <alignment horizontal="center"/>
    </xf>
    <xf numFmtId="0" fontId="5" fillId="2" borderId="3" xfId="0" applyFont="1" applyFill="1" applyBorder="1"/>
    <xf numFmtId="0" fontId="5" fillId="3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11" borderId="0" xfId="1" applyNumberFormat="1" applyFont="1" applyFill="1"/>
    <xf numFmtId="164" fontId="0" fillId="2" borderId="3" xfId="0" applyNumberFormat="1" applyFill="1" applyBorder="1"/>
    <xf numFmtId="164" fontId="0" fillId="3" borderId="0" xfId="1" applyNumberFormat="1" applyFont="1" applyFill="1"/>
    <xf numFmtId="9" fontId="0" fillId="5" borderId="3" xfId="3" applyFont="1" applyFill="1" applyBorder="1"/>
    <xf numFmtId="164" fontId="0" fillId="5" borderId="0" xfId="1" applyNumberFormat="1" applyFont="1" applyFill="1"/>
    <xf numFmtId="0" fontId="0" fillId="6" borderId="3" xfId="0" applyFill="1" applyBorder="1"/>
    <xf numFmtId="9" fontId="0" fillId="8" borderId="3" xfId="3" applyFont="1" applyFill="1" applyBorder="1"/>
    <xf numFmtId="164" fontId="0" fillId="8" borderId="0" xfId="1" applyNumberFormat="1" applyFont="1" applyFill="1"/>
    <xf numFmtId="9" fontId="0" fillId="9" borderId="3" xfId="3" applyFont="1" applyFill="1" applyBorder="1"/>
    <xf numFmtId="164" fontId="0" fillId="9" borderId="0" xfId="1" applyNumberFormat="1" applyFont="1" applyFill="1"/>
    <xf numFmtId="9" fontId="0" fillId="10" borderId="3" xfId="3" applyFont="1" applyFill="1" applyBorder="1"/>
    <xf numFmtId="164" fontId="0" fillId="10" borderId="0" xfId="1" applyNumberFormat="1" applyFont="1" applyFill="1"/>
    <xf numFmtId="164" fontId="0" fillId="4" borderId="0" xfId="1" applyNumberFormat="1" applyFont="1" applyFill="1"/>
    <xf numFmtId="164" fontId="0" fillId="12" borderId="0" xfId="1" applyNumberFormat="1" applyFont="1" applyFill="1"/>
    <xf numFmtId="164" fontId="0" fillId="13" borderId="0" xfId="1" applyNumberFormat="1" applyFont="1" applyFill="1"/>
    <xf numFmtId="164" fontId="0" fillId="14" borderId="0" xfId="1" applyNumberFormat="1" applyFont="1" applyFill="1"/>
    <xf numFmtId="164" fontId="0" fillId="0" borderId="0" xfId="1" applyNumberFormat="1" applyFont="1"/>
    <xf numFmtId="164" fontId="2" fillId="0" borderId="10" xfId="1" applyNumberFormat="1" applyFont="1" applyBorder="1"/>
    <xf numFmtId="164" fontId="2" fillId="2" borderId="11" xfId="0" applyNumberFormat="1" applyFont="1" applyFill="1" applyBorder="1"/>
    <xf numFmtId="164" fontId="2" fillId="3" borderId="10" xfId="1" applyNumberFormat="1" applyFont="1" applyFill="1" applyBorder="1"/>
    <xf numFmtId="164" fontId="2" fillId="3" borderId="10" xfId="3" applyNumberFormat="1" applyFont="1" applyFill="1" applyBorder="1"/>
    <xf numFmtId="0" fontId="2" fillId="2" borderId="11" xfId="0" applyFont="1" applyFill="1" applyBorder="1"/>
    <xf numFmtId="9" fontId="2" fillId="5" borderId="1" xfId="3" applyFont="1" applyFill="1" applyBorder="1"/>
    <xf numFmtId="164" fontId="2" fillId="5" borderId="10" xfId="1" applyNumberFormat="1" applyFont="1" applyFill="1" applyBorder="1"/>
    <xf numFmtId="0" fontId="2" fillId="6" borderId="11" xfId="0" applyFont="1" applyFill="1" applyBorder="1"/>
    <xf numFmtId="9" fontId="2" fillId="8" borderId="1" xfId="3" applyFont="1" applyFill="1" applyBorder="1"/>
    <xf numFmtId="164" fontId="2" fillId="8" borderId="10" xfId="1" applyNumberFormat="1" applyFont="1" applyFill="1" applyBorder="1"/>
    <xf numFmtId="9" fontId="2" fillId="9" borderId="1" xfId="3" applyFont="1" applyFill="1" applyBorder="1"/>
    <xf numFmtId="164" fontId="2" fillId="9" borderId="10" xfId="1" applyNumberFormat="1" applyFont="1" applyFill="1" applyBorder="1"/>
    <xf numFmtId="9" fontId="2" fillId="10" borderId="1" xfId="3" applyFont="1" applyFill="1" applyBorder="1"/>
    <xf numFmtId="164" fontId="2" fillId="10" borderId="10" xfId="1" applyNumberFormat="1" applyFont="1" applyFill="1" applyBorder="1"/>
    <xf numFmtId="43" fontId="0" fillId="0" borderId="0" xfId="1" applyFont="1"/>
    <xf numFmtId="9" fontId="0" fillId="0" borderId="0" xfId="3" applyFont="1"/>
    <xf numFmtId="0" fontId="1" fillId="0" borderId="0" xfId="0" applyFont="1"/>
    <xf numFmtId="0" fontId="1" fillId="2" borderId="1" xfId="0" applyFont="1" applyFill="1" applyBorder="1"/>
    <xf numFmtId="0" fontId="1" fillId="2" borderId="3" xfId="0" applyFont="1" applyFill="1" applyBorder="1"/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5" fillId="16" borderId="0" xfId="0" applyFont="1" applyFill="1" applyAlignment="1">
      <alignment horizontal="center"/>
    </xf>
    <xf numFmtId="0" fontId="1" fillId="6" borderId="3" xfId="0" applyFont="1" applyFill="1" applyBorder="1"/>
    <xf numFmtId="0" fontId="5" fillId="17" borderId="0" xfId="0" applyFont="1" applyFill="1" applyAlignment="1">
      <alignment horizontal="center"/>
    </xf>
    <xf numFmtId="0" fontId="5" fillId="17" borderId="7" xfId="0" applyFont="1" applyFill="1" applyBorder="1" applyAlignment="1">
      <alignment horizontal="center"/>
    </xf>
    <xf numFmtId="43" fontId="2" fillId="0" borderId="0" xfId="1" applyFont="1"/>
    <xf numFmtId="43" fontId="2" fillId="16" borderId="0" xfId="0" applyNumberFormat="1" applyFont="1" applyFill="1"/>
    <xf numFmtId="0" fontId="2" fillId="6" borderId="3" xfId="0" applyFont="1" applyFill="1" applyBorder="1"/>
    <xf numFmtId="43" fontId="2" fillId="8" borderId="0" xfId="0" applyNumberFormat="1" applyFont="1" applyFill="1"/>
    <xf numFmtId="43" fontId="2" fillId="17" borderId="0" xfId="0" applyNumberFormat="1" applyFont="1" applyFill="1"/>
    <xf numFmtId="43" fontId="2" fillId="17" borderId="5" xfId="0" applyNumberFormat="1" applyFont="1" applyFill="1" applyBorder="1"/>
    <xf numFmtId="0" fontId="1" fillId="16" borderId="0" xfId="0" applyFont="1" applyFill="1"/>
    <xf numFmtId="0" fontId="1" fillId="8" borderId="0" xfId="0" applyFont="1" applyFill="1"/>
    <xf numFmtId="0" fontId="1" fillId="17" borderId="0" xfId="0" applyFont="1" applyFill="1"/>
    <xf numFmtId="0" fontId="1" fillId="17" borderId="5" xfId="0" applyFont="1" applyFill="1" applyBorder="1"/>
    <xf numFmtId="44" fontId="1" fillId="0" borderId="0" xfId="2" applyFont="1"/>
    <xf numFmtId="165" fontId="1" fillId="0" borderId="0" xfId="2" applyNumberFormat="1" applyFont="1"/>
    <xf numFmtId="165" fontId="1" fillId="16" borderId="0" xfId="2" applyNumberFormat="1" applyFont="1" applyFill="1"/>
    <xf numFmtId="165" fontId="1" fillId="16" borderId="0" xfId="0" applyNumberFormat="1" applyFont="1" applyFill="1"/>
    <xf numFmtId="165" fontId="1" fillId="8" borderId="0" xfId="2" applyNumberFormat="1" applyFont="1" applyFill="1"/>
    <xf numFmtId="165" fontId="1" fillId="8" borderId="0" xfId="0" applyNumberFormat="1" applyFont="1" applyFill="1"/>
    <xf numFmtId="165" fontId="1" fillId="17" borderId="0" xfId="0" applyNumberFormat="1" applyFont="1" applyFill="1"/>
    <xf numFmtId="165" fontId="1" fillId="17" borderId="5" xfId="0" applyNumberFormat="1" applyFont="1" applyFill="1" applyBorder="1"/>
    <xf numFmtId="166" fontId="8" fillId="0" borderId="0" xfId="1" applyNumberFormat="1" applyFont="1"/>
    <xf numFmtId="10" fontId="8" fillId="0" borderId="0" xfId="3" applyNumberFormat="1" applyFont="1"/>
    <xf numFmtId="44" fontId="1" fillId="0" borderId="10" xfId="2" applyFont="1" applyBorder="1"/>
    <xf numFmtId="44" fontId="1" fillId="16" borderId="10" xfId="2" applyFont="1" applyFill="1" applyBorder="1"/>
    <xf numFmtId="44" fontId="1" fillId="8" borderId="10" xfId="2" applyFont="1" applyFill="1" applyBorder="1"/>
    <xf numFmtId="44" fontId="1" fillId="17" borderId="10" xfId="2" applyFont="1" applyFill="1" applyBorder="1"/>
    <xf numFmtId="44" fontId="1" fillId="17" borderId="7" xfId="2" applyFont="1" applyFill="1" applyBorder="1"/>
    <xf numFmtId="0" fontId="9" fillId="0" borderId="0" xfId="0" applyFont="1"/>
    <xf numFmtId="165" fontId="9" fillId="0" borderId="2" xfId="2" applyNumberFormat="1" applyFont="1" applyBorder="1"/>
    <xf numFmtId="0" fontId="9" fillId="2" borderId="3" xfId="0" applyFont="1" applyFill="1" applyBorder="1"/>
    <xf numFmtId="165" fontId="9" fillId="16" borderId="2" xfId="2" applyNumberFormat="1" applyFont="1" applyFill="1" applyBorder="1"/>
    <xf numFmtId="0" fontId="9" fillId="6" borderId="3" xfId="0" applyFont="1" applyFill="1" applyBorder="1"/>
    <xf numFmtId="165" fontId="9" fillId="8" borderId="2" xfId="2" applyNumberFormat="1" applyFont="1" applyFill="1" applyBorder="1"/>
    <xf numFmtId="165" fontId="9" fillId="17" borderId="2" xfId="2" applyNumberFormat="1" applyFont="1" applyFill="1" applyBorder="1"/>
    <xf numFmtId="165" fontId="9" fillId="17" borderId="9" xfId="2" applyNumberFormat="1" applyFont="1" applyFill="1" applyBorder="1"/>
    <xf numFmtId="165" fontId="1" fillId="17" borderId="0" xfId="2" applyNumberFormat="1" applyFont="1" applyFill="1"/>
    <xf numFmtId="165" fontId="1" fillId="17" borderId="5" xfId="2" applyNumberFormat="1" applyFont="1" applyFill="1" applyBorder="1"/>
    <xf numFmtId="165" fontId="2" fillId="0" borderId="15" xfId="2" applyNumberFormat="1" applyFont="1" applyBorder="1"/>
    <xf numFmtId="0" fontId="2" fillId="2" borderId="16" xfId="0" applyFont="1" applyFill="1" applyBorder="1"/>
    <xf numFmtId="165" fontId="2" fillId="16" borderId="15" xfId="2" applyNumberFormat="1" applyFont="1" applyFill="1" applyBorder="1"/>
    <xf numFmtId="0" fontId="2" fillId="6" borderId="16" xfId="0" applyFont="1" applyFill="1" applyBorder="1"/>
    <xf numFmtId="165" fontId="2" fillId="8" borderId="15" xfId="2" applyNumberFormat="1" applyFont="1" applyFill="1" applyBorder="1"/>
    <xf numFmtId="165" fontId="2" fillId="17" borderId="15" xfId="2" applyNumberFormat="1" applyFont="1" applyFill="1" applyBorder="1"/>
    <xf numFmtId="165" fontId="2" fillId="17" borderId="17" xfId="2" applyNumberFormat="1" applyFont="1" applyFill="1" applyBorder="1"/>
    <xf numFmtId="43" fontId="1" fillId="0" borderId="0" xfId="1" applyFont="1"/>
    <xf numFmtId="43" fontId="2" fillId="0" borderId="10" xfId="0" applyNumberFormat="1" applyFont="1" applyBorder="1"/>
    <xf numFmtId="165" fontId="2" fillId="0" borderId="0" xfId="0" applyNumberFormat="1" applyFont="1"/>
    <xf numFmtId="0" fontId="10" fillId="0" borderId="0" xfId="0" applyFont="1"/>
    <xf numFmtId="165" fontId="10" fillId="0" borderId="0" xfId="2" applyNumberFormat="1" applyFont="1"/>
    <xf numFmtId="0" fontId="11" fillId="0" borderId="0" xfId="0" applyFont="1"/>
    <xf numFmtId="165" fontId="11" fillId="0" borderId="0" xfId="2" applyNumberFormat="1" applyFont="1"/>
    <xf numFmtId="165" fontId="2" fillId="0" borderId="0" xfId="2" applyNumberFormat="1" applyFont="1"/>
    <xf numFmtId="166" fontId="1" fillId="0" borderId="0" xfId="1" applyNumberFormat="1" applyFont="1"/>
    <xf numFmtId="166" fontId="1" fillId="0" borderId="0" xfId="1" applyNumberFormat="1" applyFont="1" applyBorder="1"/>
    <xf numFmtId="166" fontId="5" fillId="0" borderId="0" xfId="1" applyNumberFormat="1" applyFont="1" applyAlignment="1">
      <alignment horizontal="center"/>
    </xf>
    <xf numFmtId="0" fontId="1" fillId="0" borderId="10" xfId="0" applyFont="1" applyBorder="1"/>
    <xf numFmtId="166" fontId="2" fillId="0" borderId="10" xfId="1" applyNumberFormat="1" applyFont="1" applyBorder="1"/>
    <xf numFmtId="166" fontId="2" fillId="0" borderId="0" xfId="1" applyNumberFormat="1" applyFont="1"/>
    <xf numFmtId="9" fontId="0" fillId="3" borderId="0" xfId="3" applyFont="1" applyFill="1"/>
    <xf numFmtId="0" fontId="13" fillId="0" borderId="0" xfId="0" applyFont="1"/>
    <xf numFmtId="166" fontId="13" fillId="0" borderId="0" xfId="1" applyNumberFormat="1" applyFont="1"/>
    <xf numFmtId="0" fontId="14" fillId="0" borderId="0" xfId="0" applyFont="1"/>
    <xf numFmtId="0" fontId="12" fillId="0" borderId="0" xfId="0" applyFont="1"/>
    <xf numFmtId="166" fontId="12" fillId="0" borderId="0" xfId="1" applyNumberFormat="1" applyFont="1"/>
    <xf numFmtId="166" fontId="12" fillId="0" borderId="0" xfId="1" applyNumberFormat="1" applyFont="1" applyAlignment="1">
      <alignment horizontal="center"/>
    </xf>
    <xf numFmtId="166" fontId="15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15" fillId="0" borderId="0" xfId="0" applyFont="1"/>
    <xf numFmtId="1" fontId="13" fillId="0" borderId="0" xfId="0" applyNumberFormat="1" applyFont="1" applyAlignment="1">
      <alignment horizontal="center"/>
    </xf>
    <xf numFmtId="166" fontId="13" fillId="11" borderId="13" xfId="1" applyNumberFormat="1" applyFont="1" applyFill="1" applyBorder="1"/>
    <xf numFmtId="166" fontId="12" fillId="0" borderId="10" xfId="1" applyNumberFormat="1" applyFont="1" applyBorder="1"/>
    <xf numFmtId="1" fontId="13" fillId="11" borderId="8" xfId="0" applyNumberFormat="1" applyFont="1" applyFill="1" applyBorder="1" applyAlignment="1">
      <alignment horizontal="center"/>
    </xf>
    <xf numFmtId="166" fontId="13" fillId="0" borderId="0" xfId="1" applyNumberFormat="1" applyFont="1" applyBorder="1"/>
    <xf numFmtId="166" fontId="13" fillId="0" borderId="0" xfId="1" applyNumberFormat="1" applyFont="1" applyFill="1" applyBorder="1"/>
    <xf numFmtId="0" fontId="13" fillId="11" borderId="12" xfId="0" applyFont="1" applyFill="1" applyBorder="1"/>
    <xf numFmtId="166" fontId="13" fillId="3" borderId="0" xfId="1" applyNumberFormat="1" applyFont="1" applyFill="1"/>
    <xf numFmtId="166" fontId="13" fillId="3" borderId="0" xfId="1" applyNumberFormat="1" applyFont="1" applyFill="1" applyBorder="1"/>
    <xf numFmtId="166" fontId="12" fillId="7" borderId="18" xfId="1" applyNumberFormat="1" applyFont="1" applyFill="1" applyBorder="1"/>
    <xf numFmtId="166" fontId="12" fillId="5" borderId="18" xfId="1" applyNumberFormat="1" applyFont="1" applyFill="1" applyBorder="1"/>
    <xf numFmtId="166" fontId="13" fillId="11" borderId="14" xfId="1" applyNumberFormat="1" applyFont="1" applyFill="1" applyBorder="1"/>
    <xf numFmtId="166" fontId="12" fillId="0" borderId="0" xfId="1" applyNumberFormat="1" applyFont="1" applyBorder="1"/>
    <xf numFmtId="166" fontId="12" fillId="3" borderId="10" xfId="1" applyNumberFormat="1" applyFont="1" applyFill="1" applyBorder="1"/>
    <xf numFmtId="166" fontId="16" fillId="0" borderId="0" xfId="1" applyNumberFormat="1" applyFont="1"/>
    <xf numFmtId="0" fontId="17" fillId="0" borderId="0" xfId="0" applyFont="1"/>
    <xf numFmtId="0" fontId="5" fillId="0" borderId="0" xfId="0" applyFont="1" applyAlignment="1">
      <alignment horizontal="left"/>
    </xf>
    <xf numFmtId="166" fontId="0" fillId="0" borderId="0" xfId="1" applyNumberFormat="1" applyFont="1"/>
    <xf numFmtId="0" fontId="0" fillId="18" borderId="0" xfId="0" applyFill="1"/>
    <xf numFmtId="0" fontId="0" fillId="18" borderId="0" xfId="0" applyFill="1" applyAlignment="1">
      <alignment horizontal="center"/>
    </xf>
    <xf numFmtId="43" fontId="0" fillId="18" borderId="0" xfId="1" applyFont="1" applyFill="1"/>
    <xf numFmtId="166" fontId="0" fillId="18" borderId="0" xfId="1" applyNumberFormat="1" applyFont="1" applyFill="1"/>
    <xf numFmtId="43" fontId="2" fillId="0" borderId="10" xfId="1" applyFont="1" applyBorder="1"/>
    <xf numFmtId="9" fontId="0" fillId="18" borderId="0" xfId="3" applyFont="1" applyFill="1"/>
    <xf numFmtId="9" fontId="2" fillId="0" borderId="0" xfId="3" applyFont="1" applyBorder="1"/>
    <xf numFmtId="0" fontId="1" fillId="19" borderId="0" xfId="0" applyFont="1" applyFill="1"/>
    <xf numFmtId="0" fontId="2" fillId="8" borderId="22" xfId="0" applyFont="1" applyFill="1" applyBorder="1" applyAlignment="1">
      <alignment horizontal="center"/>
    </xf>
    <xf numFmtId="0" fontId="2" fillId="20" borderId="0" xfId="0" applyFont="1" applyFill="1" applyAlignment="1">
      <alignment horizontal="center"/>
    </xf>
    <xf numFmtId="0" fontId="2" fillId="21" borderId="23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20" borderId="24" xfId="0" applyFont="1" applyFill="1" applyBorder="1" applyAlignment="1">
      <alignment horizontal="center"/>
    </xf>
    <xf numFmtId="9" fontId="2" fillId="21" borderId="26" xfId="3" applyFont="1" applyFill="1" applyBorder="1" applyAlignment="1">
      <alignment horizontal="center"/>
    </xf>
    <xf numFmtId="0" fontId="12" fillId="16" borderId="22" xfId="0" applyFont="1" applyFill="1" applyBorder="1" applyAlignment="1">
      <alignment horizontal="left"/>
    </xf>
    <xf numFmtId="165" fontId="12" fillId="16" borderId="27" xfId="2" applyNumberFormat="1" applyFont="1" applyFill="1" applyBorder="1"/>
    <xf numFmtId="165" fontId="12" fillId="20" borderId="28" xfId="2" applyNumberFormat="1" applyFont="1" applyFill="1" applyBorder="1"/>
    <xf numFmtId="167" fontId="12" fillId="16" borderId="29" xfId="3" applyNumberFormat="1" applyFont="1" applyFill="1" applyBorder="1"/>
    <xf numFmtId="0" fontId="12" fillId="19" borderId="0" xfId="0" applyFont="1" applyFill="1"/>
    <xf numFmtId="165" fontId="12" fillId="16" borderId="28" xfId="2" applyNumberFormat="1" applyFont="1" applyFill="1" applyBorder="1"/>
    <xf numFmtId="9" fontId="12" fillId="16" borderId="29" xfId="3" applyFont="1" applyFill="1" applyBorder="1"/>
    <xf numFmtId="0" fontId="9" fillId="16" borderId="22" xfId="0" applyFont="1" applyFill="1" applyBorder="1" applyAlignment="1">
      <alignment horizontal="left"/>
    </xf>
    <xf numFmtId="166" fontId="9" fillId="16" borderId="22" xfId="1" applyNumberFormat="1" applyFont="1" applyFill="1" applyBorder="1"/>
    <xf numFmtId="166" fontId="9" fillId="20" borderId="0" xfId="1" applyNumberFormat="1" applyFont="1" applyFill="1" applyBorder="1"/>
    <xf numFmtId="167" fontId="9" fillId="16" borderId="23" xfId="3" applyNumberFormat="1" applyFont="1" applyFill="1" applyBorder="1"/>
    <xf numFmtId="0" fontId="9" fillId="19" borderId="0" xfId="0" applyFont="1" applyFill="1"/>
    <xf numFmtId="166" fontId="9" fillId="16" borderId="0" xfId="1" applyNumberFormat="1" applyFont="1" applyFill="1" applyBorder="1"/>
    <xf numFmtId="9" fontId="9" fillId="16" borderId="23" xfId="3" applyFont="1" applyFill="1" applyBorder="1"/>
    <xf numFmtId="165" fontId="12" fillId="16" borderId="22" xfId="2" applyNumberFormat="1" applyFont="1" applyFill="1" applyBorder="1"/>
    <xf numFmtId="165" fontId="12" fillId="20" borderId="0" xfId="2" applyNumberFormat="1" applyFont="1" applyFill="1" applyBorder="1"/>
    <xf numFmtId="167" fontId="12" fillId="16" borderId="23" xfId="3" applyNumberFormat="1" applyFont="1" applyFill="1" applyBorder="1"/>
    <xf numFmtId="165" fontId="12" fillId="16" borderId="0" xfId="2" applyNumberFormat="1" applyFont="1" applyFill="1" applyBorder="1"/>
    <xf numFmtId="9" fontId="12" fillId="16" borderId="23" xfId="3" applyFont="1" applyFill="1" applyBorder="1"/>
    <xf numFmtId="0" fontId="19" fillId="0" borderId="0" xfId="0" applyFont="1"/>
    <xf numFmtId="0" fontId="19" fillId="16" borderId="22" xfId="0" applyFont="1" applyFill="1" applyBorder="1" applyAlignment="1">
      <alignment horizontal="left"/>
    </xf>
    <xf numFmtId="165" fontId="19" fillId="16" borderId="22" xfId="2" applyNumberFormat="1" applyFont="1" applyFill="1" applyBorder="1"/>
    <xf numFmtId="165" fontId="19" fillId="20" borderId="0" xfId="2" applyNumberFormat="1" applyFont="1" applyFill="1" applyBorder="1"/>
    <xf numFmtId="167" fontId="19" fillId="16" borderId="23" xfId="3" applyNumberFormat="1" applyFont="1" applyFill="1" applyBorder="1"/>
    <xf numFmtId="0" fontId="19" fillId="19" borderId="0" xfId="0" applyFont="1" applyFill="1"/>
    <xf numFmtId="165" fontId="19" fillId="16" borderId="0" xfId="2" applyNumberFormat="1" applyFont="1" applyFill="1" applyBorder="1"/>
    <xf numFmtId="9" fontId="19" fillId="16" borderId="23" xfId="3" applyFont="1" applyFill="1" applyBorder="1"/>
    <xf numFmtId="0" fontId="9" fillId="16" borderId="22" xfId="0" applyFont="1" applyFill="1" applyBorder="1" applyAlignment="1">
      <alignment horizontal="right"/>
    </xf>
    <xf numFmtId="165" fontId="9" fillId="16" borderId="22" xfId="2" applyNumberFormat="1" applyFont="1" applyFill="1" applyBorder="1"/>
    <xf numFmtId="165" fontId="9" fillId="20" borderId="0" xfId="2" applyNumberFormat="1" applyFont="1" applyFill="1" applyBorder="1"/>
    <xf numFmtId="165" fontId="9" fillId="16" borderId="0" xfId="2" applyNumberFormat="1" applyFont="1" applyFill="1" applyBorder="1"/>
    <xf numFmtId="0" fontId="20" fillId="0" borderId="0" xfId="0" applyFont="1"/>
    <xf numFmtId="0" fontId="20" fillId="19" borderId="0" xfId="0" applyFont="1" applyFill="1"/>
    <xf numFmtId="0" fontId="9" fillId="16" borderId="25" xfId="0" applyFont="1" applyFill="1" applyBorder="1" applyAlignment="1">
      <alignment horizontal="left"/>
    </xf>
    <xf numFmtId="43" fontId="9" fillId="16" borderId="25" xfId="1" applyFont="1" applyFill="1" applyBorder="1"/>
    <xf numFmtId="43" fontId="9" fillId="20" borderId="24" xfId="1" applyFont="1" applyFill="1" applyBorder="1"/>
    <xf numFmtId="167" fontId="9" fillId="16" borderId="26" xfId="3" applyNumberFormat="1" applyFont="1" applyFill="1" applyBorder="1"/>
    <xf numFmtId="43" fontId="9" fillId="16" borderId="24" xfId="1" applyFont="1" applyFill="1" applyBorder="1"/>
    <xf numFmtId="9" fontId="9" fillId="16" borderId="26" xfId="3" applyFont="1" applyFill="1" applyBorder="1"/>
    <xf numFmtId="0" fontId="9" fillId="0" borderId="0" xfId="0" applyFont="1" applyAlignment="1">
      <alignment horizontal="left"/>
    </xf>
    <xf numFmtId="166" fontId="9" fillId="8" borderId="27" xfId="1" applyNumberFormat="1" applyFont="1" applyFill="1" applyBorder="1"/>
    <xf numFmtId="166" fontId="9" fillId="20" borderId="28" xfId="1" applyNumberFormat="1" applyFont="1" applyFill="1" applyBorder="1"/>
    <xf numFmtId="167" fontId="9" fillId="21" borderId="29" xfId="3" applyNumberFormat="1" applyFont="1" applyFill="1" applyBorder="1"/>
    <xf numFmtId="166" fontId="9" fillId="10" borderId="27" xfId="1" applyNumberFormat="1" applyFont="1" applyFill="1" applyBorder="1"/>
    <xf numFmtId="166" fontId="9" fillId="10" borderId="29" xfId="1" applyNumberFormat="1" applyFont="1" applyFill="1" applyBorder="1"/>
    <xf numFmtId="0" fontId="5" fillId="0" borderId="0" xfId="0" applyFont="1"/>
    <xf numFmtId="166" fontId="1" fillId="8" borderId="22" xfId="1" applyNumberFormat="1" applyFont="1" applyFill="1" applyBorder="1"/>
    <xf numFmtId="166" fontId="1" fillId="20" borderId="0" xfId="1" applyNumberFormat="1" applyFont="1" applyFill="1" applyBorder="1"/>
    <xf numFmtId="167" fontId="1" fillId="21" borderId="23" xfId="3" applyNumberFormat="1" applyFont="1" applyFill="1" applyBorder="1"/>
    <xf numFmtId="166" fontId="1" fillId="10" borderId="22" xfId="1" applyNumberFormat="1" applyFont="1" applyFill="1" applyBorder="1"/>
    <xf numFmtId="166" fontId="1" fillId="10" borderId="23" xfId="1" applyNumberFormat="1" applyFont="1" applyFill="1" applyBorder="1"/>
    <xf numFmtId="0" fontId="1" fillId="0" borderId="0" xfId="0" applyFont="1" applyAlignment="1">
      <alignment horizontal="center"/>
    </xf>
    <xf numFmtId="165" fontId="1" fillId="8" borderId="22" xfId="2" applyNumberFormat="1" applyFont="1" applyFill="1" applyBorder="1"/>
    <xf numFmtId="165" fontId="1" fillId="20" borderId="0" xfId="2" applyNumberFormat="1" applyFont="1" applyFill="1" applyBorder="1"/>
    <xf numFmtId="165" fontId="1" fillId="19" borderId="0" xfId="0" applyNumberFormat="1" applyFont="1" applyFill="1"/>
    <xf numFmtId="165" fontId="1" fillId="10" borderId="22" xfId="2" applyNumberFormat="1" applyFont="1" applyFill="1" applyBorder="1"/>
    <xf numFmtId="9" fontId="1" fillId="10" borderId="23" xfId="3" applyFont="1" applyFill="1" applyBorder="1"/>
    <xf numFmtId="166" fontId="2" fillId="8" borderId="30" xfId="1" applyNumberFormat="1" applyFont="1" applyFill="1" applyBorder="1"/>
    <xf numFmtId="166" fontId="2" fillId="20" borderId="10" xfId="1" applyNumberFormat="1" applyFont="1" applyFill="1" applyBorder="1"/>
    <xf numFmtId="167" fontId="2" fillId="21" borderId="31" xfId="3" applyNumberFormat="1" applyFont="1" applyFill="1" applyBorder="1"/>
    <xf numFmtId="166" fontId="2" fillId="10" borderId="30" xfId="1" applyNumberFormat="1" applyFont="1" applyFill="1" applyBorder="1"/>
    <xf numFmtId="9" fontId="2" fillId="10" borderId="31" xfId="3" applyFont="1" applyFill="1" applyBorder="1"/>
    <xf numFmtId="166" fontId="1" fillId="8" borderId="30" xfId="1" applyNumberFormat="1" applyFont="1" applyFill="1" applyBorder="1"/>
    <xf numFmtId="166" fontId="1" fillId="20" borderId="10" xfId="1" applyNumberFormat="1" applyFont="1" applyFill="1" applyBorder="1"/>
    <xf numFmtId="167" fontId="1" fillId="21" borderId="31" xfId="3" applyNumberFormat="1" applyFont="1" applyFill="1" applyBorder="1"/>
    <xf numFmtId="166" fontId="1" fillId="10" borderId="30" xfId="1" applyNumberFormat="1" applyFont="1" applyFill="1" applyBorder="1"/>
    <xf numFmtId="9" fontId="1" fillId="10" borderId="31" xfId="3" applyFont="1" applyFill="1" applyBorder="1"/>
    <xf numFmtId="166" fontId="2" fillId="8" borderId="22" xfId="1" applyNumberFormat="1" applyFont="1" applyFill="1" applyBorder="1"/>
    <xf numFmtId="166" fontId="2" fillId="20" borderId="0" xfId="1" applyNumberFormat="1" applyFont="1" applyFill="1" applyBorder="1"/>
    <xf numFmtId="167" fontId="2" fillId="21" borderId="23" xfId="3" applyNumberFormat="1" applyFont="1" applyFill="1" applyBorder="1"/>
    <xf numFmtId="166" fontId="2" fillId="10" borderId="22" xfId="1" applyNumberFormat="1" applyFont="1" applyFill="1" applyBorder="1"/>
    <xf numFmtId="9" fontId="2" fillId="10" borderId="23" xfId="3" applyFont="1" applyFill="1" applyBorder="1"/>
    <xf numFmtId="166" fontId="2" fillId="8" borderId="32" xfId="1" applyNumberFormat="1" applyFont="1" applyFill="1" applyBorder="1"/>
    <xf numFmtId="166" fontId="2" fillId="20" borderId="13" xfId="1" applyNumberFormat="1" applyFont="1" applyFill="1" applyBorder="1"/>
    <xf numFmtId="166" fontId="2" fillId="10" borderId="32" xfId="1" applyNumberFormat="1" applyFont="1" applyFill="1" applyBorder="1"/>
    <xf numFmtId="167" fontId="1" fillId="21" borderId="23" xfId="0" applyNumberFormat="1" applyFont="1" applyFill="1" applyBorder="1"/>
    <xf numFmtId="0" fontId="9" fillId="15" borderId="0" xfId="0" applyFont="1" applyFill="1"/>
    <xf numFmtId="0" fontId="21" fillId="15" borderId="0" xfId="0" applyFont="1" applyFill="1"/>
    <xf numFmtId="166" fontId="21" fillId="15" borderId="22" xfId="1" applyNumberFormat="1" applyFont="1" applyFill="1" applyBorder="1"/>
    <xf numFmtId="166" fontId="21" fillId="20" borderId="0" xfId="1" applyNumberFormat="1" applyFont="1" applyFill="1" applyBorder="1"/>
    <xf numFmtId="167" fontId="21" fillId="15" borderId="23" xfId="0" applyNumberFormat="1" applyFont="1" applyFill="1" applyBorder="1"/>
    <xf numFmtId="165" fontId="21" fillId="19" borderId="0" xfId="0" applyNumberFormat="1" applyFont="1" applyFill="1"/>
    <xf numFmtId="166" fontId="21" fillId="15" borderId="0" xfId="1" applyNumberFormat="1" applyFont="1" applyFill="1" applyBorder="1"/>
    <xf numFmtId="9" fontId="21" fillId="15" borderId="23" xfId="3" applyFont="1" applyFill="1" applyBorder="1"/>
    <xf numFmtId="0" fontId="11" fillId="15" borderId="0" xfId="0" applyFont="1" applyFill="1"/>
    <xf numFmtId="0" fontId="11" fillId="15" borderId="0" xfId="0" applyFont="1" applyFill="1" applyAlignment="1">
      <alignment horizontal="right"/>
    </xf>
    <xf numFmtId="167" fontId="21" fillId="15" borderId="23" xfId="3" applyNumberFormat="1" applyFont="1" applyFill="1" applyBorder="1"/>
    <xf numFmtId="0" fontId="1" fillId="15" borderId="0" xfId="0" applyFont="1" applyFill="1"/>
    <xf numFmtId="166" fontId="1" fillId="15" borderId="30" xfId="1" applyNumberFormat="1" applyFont="1" applyFill="1" applyBorder="1"/>
    <xf numFmtId="167" fontId="1" fillId="15" borderId="31" xfId="0" applyNumberFormat="1" applyFont="1" applyFill="1" applyBorder="1"/>
    <xf numFmtId="166" fontId="1" fillId="15" borderId="10" xfId="1" applyNumberFormat="1" applyFont="1" applyFill="1" applyBorder="1"/>
    <xf numFmtId="9" fontId="1" fillId="15" borderId="31" xfId="3" applyFont="1" applyFill="1" applyBorder="1"/>
    <xf numFmtId="0" fontId="2" fillId="15" borderId="0" xfId="0" applyFont="1" applyFill="1"/>
    <xf numFmtId="166" fontId="2" fillId="15" borderId="22" xfId="1" applyNumberFormat="1" applyFont="1" applyFill="1" applyBorder="1"/>
    <xf numFmtId="167" fontId="2" fillId="15" borderId="23" xfId="3" applyNumberFormat="1" applyFont="1" applyFill="1" applyBorder="1"/>
    <xf numFmtId="166" fontId="2" fillId="15" borderId="0" xfId="1" applyNumberFormat="1" applyFont="1" applyFill="1" applyBorder="1"/>
    <xf numFmtId="9" fontId="2" fillId="15" borderId="23" xfId="3" applyFont="1" applyFill="1" applyBorder="1"/>
    <xf numFmtId="167" fontId="1" fillId="8" borderId="31" xfId="0" applyNumberFormat="1" applyFont="1" applyFill="1" applyBorder="1"/>
    <xf numFmtId="166" fontId="2" fillId="8" borderId="25" xfId="1" applyNumberFormat="1" applyFont="1" applyFill="1" applyBorder="1"/>
    <xf numFmtId="166" fontId="2" fillId="20" borderId="24" xfId="1" applyNumberFormat="1" applyFont="1" applyFill="1" applyBorder="1"/>
    <xf numFmtId="167" fontId="2" fillId="8" borderId="26" xfId="3" applyNumberFormat="1" applyFont="1" applyFill="1" applyBorder="1"/>
    <xf numFmtId="166" fontId="2" fillId="10" borderId="25" xfId="1" applyNumberFormat="1" applyFont="1" applyFill="1" applyBorder="1"/>
    <xf numFmtId="9" fontId="2" fillId="10" borderId="26" xfId="3" applyFont="1" applyFill="1" applyBorder="1"/>
    <xf numFmtId="167" fontId="1" fillId="0" borderId="0" xfId="0" applyNumberFormat="1" applyFont="1"/>
    <xf numFmtId="165" fontId="1" fillId="0" borderId="0" xfId="0" applyNumberFormat="1" applyFont="1"/>
    <xf numFmtId="0" fontId="2" fillId="5" borderId="0" xfId="0" applyFont="1" applyFill="1" applyAlignment="1">
      <alignment horizontal="center"/>
    </xf>
    <xf numFmtId="14" fontId="2" fillId="5" borderId="0" xfId="0" applyNumberFormat="1" applyFont="1" applyFill="1" applyAlignment="1">
      <alignment horizontal="center"/>
    </xf>
    <xf numFmtId="166" fontId="9" fillId="5" borderId="28" xfId="1" applyNumberFormat="1" applyFont="1" applyFill="1" applyBorder="1"/>
    <xf numFmtId="166" fontId="1" fillId="5" borderId="0" xfId="1" applyNumberFormat="1" applyFont="1" applyFill="1" applyBorder="1"/>
    <xf numFmtId="165" fontId="1" fillId="5" borderId="0" xfId="2" applyNumberFormat="1" applyFont="1" applyFill="1" applyBorder="1"/>
    <xf numFmtId="166" fontId="2" fillId="5" borderId="10" xfId="1" applyNumberFormat="1" applyFont="1" applyFill="1" applyBorder="1"/>
    <xf numFmtId="166" fontId="1" fillId="5" borderId="10" xfId="1" applyNumberFormat="1" applyFont="1" applyFill="1" applyBorder="1"/>
    <xf numFmtId="166" fontId="2" fillId="5" borderId="0" xfId="1" applyNumberFormat="1" applyFont="1" applyFill="1" applyBorder="1"/>
    <xf numFmtId="166" fontId="2" fillId="0" borderId="0" xfId="0" applyNumberFormat="1" applyFont="1"/>
    <xf numFmtId="168" fontId="2" fillId="0" borderId="0" xfId="0" applyNumberFormat="1" applyFont="1"/>
    <xf numFmtId="0" fontId="21" fillId="0" borderId="0" xfId="0" applyFont="1"/>
    <xf numFmtId="166" fontId="2" fillId="5" borderId="24" xfId="1" applyNumberFormat="1" applyFont="1" applyFill="1" applyBorder="1"/>
    <xf numFmtId="166" fontId="1" fillId="0" borderId="0" xfId="0" applyNumberFormat="1" applyFont="1"/>
    <xf numFmtId="0" fontId="12" fillId="0" borderId="0" xfId="0" applyFont="1" applyAlignment="1">
      <alignment horizontal="right"/>
    </xf>
    <xf numFmtId="0" fontId="12" fillId="16" borderId="27" xfId="0" applyFont="1" applyFill="1" applyBorder="1" applyAlignment="1">
      <alignment horizontal="left"/>
    </xf>
    <xf numFmtId="166" fontId="12" fillId="16" borderId="28" xfId="1" applyNumberFormat="1" applyFont="1" applyFill="1" applyBorder="1"/>
    <xf numFmtId="0" fontId="9" fillId="0" borderId="0" xfId="0" applyFont="1" applyAlignment="1">
      <alignment horizontal="right"/>
    </xf>
    <xf numFmtId="166" fontId="12" fillId="16" borderId="22" xfId="1" applyNumberFormat="1" applyFont="1" applyFill="1" applyBorder="1"/>
    <xf numFmtId="166" fontId="12" fillId="16" borderId="0" xfId="1" applyNumberFormat="1" applyFont="1" applyFill="1" applyBorder="1"/>
    <xf numFmtId="166" fontId="19" fillId="16" borderId="22" xfId="1" applyNumberFormat="1" applyFont="1" applyFill="1" applyBorder="1"/>
    <xf numFmtId="166" fontId="19" fillId="16" borderId="0" xfId="1" applyNumberFormat="1" applyFont="1" applyFill="1" applyBorder="1"/>
    <xf numFmtId="0" fontId="1" fillId="8" borderId="22" xfId="0" applyFont="1" applyFill="1" applyBorder="1"/>
    <xf numFmtId="0" fontId="1" fillId="20" borderId="0" xfId="0" applyFont="1" applyFill="1"/>
    <xf numFmtId="167" fontId="2" fillId="7" borderId="23" xfId="3" applyNumberFormat="1" applyFont="1" applyFill="1" applyBorder="1"/>
    <xf numFmtId="167" fontId="2" fillId="7" borderId="31" xfId="3" applyNumberFormat="1" applyFont="1" applyFill="1" applyBorder="1"/>
    <xf numFmtId="0" fontId="2" fillId="19" borderId="0" xfId="0" applyFont="1" applyFill="1"/>
    <xf numFmtId="0" fontId="1" fillId="8" borderId="30" xfId="0" applyFont="1" applyFill="1" applyBorder="1"/>
    <xf numFmtId="0" fontId="23" fillId="0" borderId="0" xfId="0" applyFont="1"/>
    <xf numFmtId="166" fontId="23" fillId="8" borderId="22" xfId="1" applyNumberFormat="1" applyFont="1" applyFill="1" applyBorder="1"/>
    <xf numFmtId="166" fontId="23" fillId="20" borderId="0" xfId="1" applyNumberFormat="1" applyFont="1" applyFill="1" applyBorder="1"/>
    <xf numFmtId="167" fontId="11" fillId="7" borderId="23" xfId="3" applyNumberFormat="1" applyFont="1" applyFill="1" applyBorder="1"/>
    <xf numFmtId="0" fontId="23" fillId="19" borderId="0" xfId="0" applyFont="1" applyFill="1"/>
    <xf numFmtId="165" fontId="2" fillId="8" borderId="25" xfId="2" applyNumberFormat="1" applyFont="1" applyFill="1" applyBorder="1"/>
    <xf numFmtId="167" fontId="2" fillId="7" borderId="26" xfId="3" applyNumberFormat="1" applyFont="1" applyFill="1" applyBorder="1"/>
    <xf numFmtId="167" fontId="1" fillId="0" borderId="0" xfId="3" applyNumberFormat="1" applyFont="1"/>
    <xf numFmtId="14" fontId="2" fillId="20" borderId="24" xfId="0" applyNumberFormat="1" applyFont="1" applyFill="1" applyBorder="1" applyAlignment="1">
      <alignment horizontal="center"/>
    </xf>
    <xf numFmtId="0" fontId="2" fillId="10" borderId="35" xfId="0" applyFont="1" applyFill="1" applyBorder="1"/>
    <xf numFmtId="0" fontId="2" fillId="10" borderId="34" xfId="0" applyFont="1" applyFill="1" applyBorder="1" applyAlignment="1">
      <alignment horizontal="center"/>
    </xf>
    <xf numFmtId="165" fontId="12" fillId="16" borderId="33" xfId="2" applyNumberFormat="1" applyFont="1" applyFill="1" applyBorder="1"/>
    <xf numFmtId="165" fontId="9" fillId="16" borderId="34" xfId="2" applyNumberFormat="1" applyFont="1" applyFill="1" applyBorder="1"/>
    <xf numFmtId="166" fontId="12" fillId="16" borderId="34" xfId="1" applyNumberFormat="1" applyFont="1" applyFill="1" applyBorder="1"/>
    <xf numFmtId="166" fontId="9" fillId="16" borderId="34" xfId="1" applyNumberFormat="1" applyFont="1" applyFill="1" applyBorder="1"/>
    <xf numFmtId="166" fontId="19" fillId="16" borderId="34" xfId="1" applyNumberFormat="1" applyFont="1" applyFill="1" applyBorder="1"/>
    <xf numFmtId="165" fontId="19" fillId="16" borderId="34" xfId="2" applyNumberFormat="1" applyFont="1" applyFill="1" applyBorder="1"/>
    <xf numFmtId="43" fontId="9" fillId="16" borderId="36" xfId="1" applyFont="1" applyFill="1" applyBorder="1"/>
    <xf numFmtId="0" fontId="1" fillId="10" borderId="34" xfId="0" applyFont="1" applyFill="1" applyBorder="1"/>
    <xf numFmtId="165" fontId="1" fillId="10" borderId="34" xfId="2" applyNumberFormat="1" applyFont="1" applyFill="1" applyBorder="1"/>
    <xf numFmtId="166" fontId="1" fillId="10" borderId="34" xfId="1" applyNumberFormat="1" applyFont="1" applyFill="1" applyBorder="1"/>
    <xf numFmtId="166" fontId="1" fillId="10" borderId="37" xfId="1" applyNumberFormat="1" applyFont="1" applyFill="1" applyBorder="1"/>
    <xf numFmtId="166" fontId="2" fillId="10" borderId="34" xfId="1" applyNumberFormat="1" applyFont="1" applyFill="1" applyBorder="1"/>
    <xf numFmtId="0" fontId="1" fillId="10" borderId="37" xfId="0" applyFont="1" applyFill="1" applyBorder="1"/>
    <xf numFmtId="166" fontId="23" fillId="10" borderId="34" xfId="1" applyNumberFormat="1" applyFont="1" applyFill="1" applyBorder="1"/>
    <xf numFmtId="165" fontId="2" fillId="10" borderId="36" xfId="2" applyNumberFormat="1" applyFont="1" applyFill="1" applyBorder="1"/>
    <xf numFmtId="0" fontId="2" fillId="10" borderId="35" xfId="0" applyFont="1" applyFill="1" applyBorder="1" applyAlignment="1">
      <alignment horizontal="center"/>
    </xf>
    <xf numFmtId="165" fontId="12" fillId="16" borderId="34" xfId="2" applyNumberFormat="1" applyFont="1" applyFill="1" applyBorder="1"/>
    <xf numFmtId="166" fontId="9" fillId="10" borderId="33" xfId="1" applyNumberFormat="1" applyFont="1" applyFill="1" applyBorder="1"/>
    <xf numFmtId="166" fontId="2" fillId="10" borderId="37" xfId="1" applyNumberFormat="1" applyFont="1" applyFill="1" applyBorder="1"/>
    <xf numFmtId="166" fontId="2" fillId="10" borderId="38" xfId="1" applyNumberFormat="1" applyFont="1" applyFill="1" applyBorder="1"/>
    <xf numFmtId="166" fontId="21" fillId="15" borderId="34" xfId="1" applyNumberFormat="1" applyFont="1" applyFill="1" applyBorder="1"/>
    <xf numFmtId="166" fontId="1" fillId="15" borderId="37" xfId="1" applyNumberFormat="1" applyFont="1" applyFill="1" applyBorder="1"/>
    <xf numFmtId="166" fontId="2" fillId="15" borderId="34" xfId="1" applyNumberFormat="1" applyFont="1" applyFill="1" applyBorder="1"/>
    <xf numFmtId="166" fontId="2" fillId="10" borderId="36" xfId="1" applyNumberFormat="1" applyFont="1" applyFill="1" applyBorder="1"/>
    <xf numFmtId="0" fontId="24" fillId="22" borderId="0" xfId="0" applyFont="1" applyFill="1" applyAlignment="1">
      <alignment horizontal="center"/>
    </xf>
    <xf numFmtId="14" fontId="24" fillId="22" borderId="0" xfId="0" applyNumberFormat="1" applyFont="1" applyFill="1" applyAlignment="1">
      <alignment horizontal="center"/>
    </xf>
    <xf numFmtId="165" fontId="12" fillId="23" borderId="28" xfId="2" applyNumberFormat="1" applyFont="1" applyFill="1" applyBorder="1"/>
    <xf numFmtId="166" fontId="9" fillId="23" borderId="0" xfId="1" applyNumberFormat="1" applyFont="1" applyFill="1" applyBorder="1"/>
    <xf numFmtId="165" fontId="12" fillId="23" borderId="0" xfId="2" applyNumberFormat="1" applyFont="1" applyFill="1" applyBorder="1"/>
    <xf numFmtId="165" fontId="19" fillId="23" borderId="0" xfId="2" applyNumberFormat="1" applyFont="1" applyFill="1" applyBorder="1"/>
    <xf numFmtId="165" fontId="9" fillId="23" borderId="0" xfId="2" applyNumberFormat="1" applyFont="1" applyFill="1" applyBorder="1"/>
    <xf numFmtId="43" fontId="9" fillId="23" borderId="24" xfId="1" applyFont="1" applyFill="1" applyBorder="1"/>
    <xf numFmtId="166" fontId="9" fillId="22" borderId="28" xfId="1" applyNumberFormat="1" applyFont="1" applyFill="1" applyBorder="1"/>
    <xf numFmtId="166" fontId="25" fillId="22" borderId="0" xfId="1" applyNumberFormat="1" applyFont="1" applyFill="1" applyBorder="1"/>
    <xf numFmtId="165" fontId="25" fillId="22" borderId="0" xfId="2" applyNumberFormat="1" applyFont="1" applyFill="1" applyBorder="1"/>
    <xf numFmtId="166" fontId="24" fillId="22" borderId="10" xfId="1" applyNumberFormat="1" applyFont="1" applyFill="1" applyBorder="1"/>
    <xf numFmtId="166" fontId="25" fillId="22" borderId="10" xfId="1" applyNumberFormat="1" applyFont="1" applyFill="1" applyBorder="1"/>
    <xf numFmtId="166" fontId="24" fillId="22" borderId="0" xfId="1" applyNumberFormat="1" applyFont="1" applyFill="1" applyBorder="1"/>
    <xf numFmtId="166" fontId="21" fillId="24" borderId="0" xfId="1" applyNumberFormat="1" applyFont="1" applyFill="1" applyBorder="1"/>
    <xf numFmtId="166" fontId="25" fillId="24" borderId="10" xfId="1" applyNumberFormat="1" applyFont="1" applyFill="1" applyBorder="1"/>
    <xf numFmtId="166" fontId="24" fillId="24" borderId="0" xfId="1" applyNumberFormat="1" applyFont="1" applyFill="1" applyBorder="1"/>
    <xf numFmtId="166" fontId="24" fillId="22" borderId="24" xfId="1" applyNumberFormat="1" applyFont="1" applyFill="1" applyBorder="1"/>
    <xf numFmtId="165" fontId="1" fillId="20" borderId="0" xfId="1" applyNumberFormat="1" applyFont="1" applyFill="1" applyBorder="1"/>
    <xf numFmtId="166" fontId="26" fillId="20" borderId="0" xfId="1" applyNumberFormat="1" applyFont="1" applyFill="1" applyBorder="1"/>
    <xf numFmtId="166" fontId="1" fillId="11" borderId="0" xfId="1" applyNumberFormat="1" applyFont="1" applyFill="1" applyBorder="1"/>
    <xf numFmtId="165" fontId="9" fillId="11" borderId="2" xfId="2" applyNumberFormat="1" applyFont="1" applyFill="1" applyBorder="1"/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49" fontId="28" fillId="25" borderId="39" xfId="0" applyNumberFormat="1" applyFont="1" applyFill="1" applyBorder="1" applyAlignment="1">
      <alignment horizontal="center"/>
    </xf>
    <xf numFmtId="0" fontId="27" fillId="26" borderId="0" xfId="0" applyFont="1" applyFill="1"/>
    <xf numFmtId="0" fontId="27" fillId="27" borderId="0" xfId="0" applyFont="1" applyFill="1"/>
    <xf numFmtId="0" fontId="27" fillId="28" borderId="0" xfId="0" applyFont="1" applyFill="1"/>
    <xf numFmtId="0" fontId="27" fillId="29" borderId="0" xfId="0" applyFont="1" applyFill="1"/>
    <xf numFmtId="0" fontId="30" fillId="27" borderId="0" xfId="0" applyFont="1" applyFill="1"/>
    <xf numFmtId="0" fontId="27" fillId="30" borderId="0" xfId="0" applyFont="1" applyFill="1"/>
    <xf numFmtId="0" fontId="27" fillId="31" borderId="0" xfId="0" applyFont="1" applyFill="1"/>
    <xf numFmtId="0" fontId="27" fillId="32" borderId="0" xfId="0" applyFont="1" applyFill="1"/>
    <xf numFmtId="0" fontId="27" fillId="33" borderId="0" xfId="0" applyFont="1" applyFill="1"/>
    <xf numFmtId="0" fontId="27" fillId="34" borderId="0" xfId="0" applyFont="1" applyFill="1"/>
    <xf numFmtId="0" fontId="29" fillId="34" borderId="0" xfId="0" applyFont="1" applyFill="1"/>
    <xf numFmtId="0" fontId="0" fillId="0" borderId="0" xfId="0" applyAlignment="1">
      <alignment horizontal="left"/>
    </xf>
    <xf numFmtId="166" fontId="0" fillId="0" borderId="0" xfId="0" applyNumberFormat="1"/>
    <xf numFmtId="2" fontId="29" fillId="25" borderId="39" xfId="0" applyNumberFormat="1" applyFont="1" applyFill="1" applyBorder="1"/>
    <xf numFmtId="2" fontId="27" fillId="25" borderId="39" xfId="0" applyNumberFormat="1" applyFont="1" applyFill="1" applyBorder="1"/>
    <xf numFmtId="2" fontId="31" fillId="25" borderId="39" xfId="0" applyNumberFormat="1" applyFont="1" applyFill="1" applyBorder="1"/>
    <xf numFmtId="2" fontId="29" fillId="25" borderId="40" xfId="0" applyNumberFormat="1" applyFont="1" applyFill="1" applyBorder="1"/>
    <xf numFmtId="2" fontId="29" fillId="11" borderId="0" xfId="0" applyNumberFormat="1" applyFont="1" applyFill="1"/>
    <xf numFmtId="2" fontId="27" fillId="11" borderId="0" xfId="0" applyNumberFormat="1" applyFont="1" applyFill="1"/>
    <xf numFmtId="166" fontId="1" fillId="11" borderId="34" xfId="1" applyNumberFormat="1" applyFont="1" applyFill="1" applyBorder="1"/>
    <xf numFmtId="10" fontId="25" fillId="22" borderId="0" xfId="3" applyNumberFormat="1" applyFont="1" applyFill="1" applyBorder="1"/>
    <xf numFmtId="10" fontId="1" fillId="20" borderId="0" xfId="3" applyNumberFormat="1" applyFont="1" applyFill="1" applyBorder="1"/>
    <xf numFmtId="166" fontId="21" fillId="11" borderId="34" xfId="1" applyNumberFormat="1" applyFont="1" applyFill="1" applyBorder="1"/>
    <xf numFmtId="9" fontId="1" fillId="20" borderId="0" xfId="3" applyFont="1" applyFill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0" fontId="2" fillId="15" borderId="13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7" borderId="12" xfId="0" applyFont="1" applyFill="1" applyBorder="1" applyAlignment="1">
      <alignment horizontal="center"/>
    </xf>
    <xf numFmtId="0" fontId="2" fillId="17" borderId="13" xfId="0" applyFont="1" applyFill="1" applyBorder="1" applyAlignment="1">
      <alignment horizontal="center"/>
    </xf>
    <xf numFmtId="0" fontId="2" fillId="17" borderId="14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hared\Charter%20School%20Clients\ADCS%201\04.%20Financial%20Reports\Reports%20to%20board\FY%2022-23\07.%20Mar%202023\ADCS%20Financial%20Report%20at%203-31-2023.xlsx" TargetMode="External"/><Relationship Id="rId1" Type="http://schemas.openxmlformats.org/officeDocument/2006/relationships/externalLinkPath" Target="/Shared/Charter%20School%20Clients/ADCS%201/04.%20Financial%20Reports/Reports%20to%20board/FY%2022-23/07.%20Mar%202023/ADCS%20Financial%20Report%20at%203-3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Dashboard"/>
      <sheetName val="Data for Dashboard"/>
      <sheetName val="Narrative - Pg 1"/>
      <sheetName val="Narrative - Pg 2"/>
      <sheetName val="FY22-23 Analytic"/>
      <sheetName val="Data for FY22-23 Analytic"/>
      <sheetName val="Balance Sheet"/>
      <sheetName val="Bal Sht from QB"/>
      <sheetName val="FY2022-23 Budget Assumptions"/>
      <sheetName val="Summary Rollup"/>
      <sheetName val="Detailed Rollup"/>
      <sheetName val="Budgeted Revenue"/>
      <sheetName val="P&amp;L from QB"/>
      <sheetName val="Enrollment"/>
      <sheetName val="Salaries"/>
      <sheetName val="Professionals"/>
      <sheetName val="Other Purchased Services"/>
      <sheetName val="School Operations"/>
      <sheetName val="Student Services"/>
      <sheetName val="Field Trips"/>
      <sheetName val="Memberships"/>
      <sheetName val="Facilities"/>
      <sheetName val="Lease"/>
      <sheetName val="Cash Flow"/>
    </sheetNames>
    <sheetDataSet>
      <sheetData sheetId="0"/>
      <sheetData sheetId="1"/>
      <sheetData sheetId="2"/>
      <sheetData sheetId="3">
        <row r="44">
          <cell r="G44">
            <v>586.6</v>
          </cell>
        </row>
      </sheetData>
      <sheetData sheetId="4"/>
      <sheetData sheetId="5"/>
      <sheetData sheetId="6"/>
      <sheetData sheetId="7"/>
      <sheetData sheetId="8">
        <row r="42">
          <cell r="L42">
            <v>0</v>
          </cell>
        </row>
        <row r="47">
          <cell r="L47">
            <v>0</v>
          </cell>
        </row>
        <row r="53">
          <cell r="L53">
            <v>0</v>
          </cell>
        </row>
        <row r="58">
          <cell r="L58">
            <v>0</v>
          </cell>
        </row>
      </sheetData>
      <sheetData sheetId="9"/>
      <sheetData sheetId="10"/>
      <sheetData sheetId="11"/>
      <sheetData sheetId="12">
        <row r="17">
          <cell r="D17">
            <v>10505096</v>
          </cell>
          <cell r="F17">
            <v>249360</v>
          </cell>
          <cell r="G17">
            <v>1542969</v>
          </cell>
        </row>
        <row r="31">
          <cell r="D31">
            <v>1402269</v>
          </cell>
        </row>
        <row r="37">
          <cell r="F37">
            <v>118819</v>
          </cell>
        </row>
        <row r="44">
          <cell r="E44">
            <v>1134962</v>
          </cell>
        </row>
        <row r="45">
          <cell r="E45">
            <v>109576</v>
          </cell>
        </row>
        <row r="46">
          <cell r="E46">
            <v>329487.59999999998</v>
          </cell>
        </row>
      </sheetData>
      <sheetData sheetId="13">
        <row r="5">
          <cell r="H5">
            <v>9960591.1899999995</v>
          </cell>
          <cell r="L5">
            <v>7788213.3600000003</v>
          </cell>
        </row>
        <row r="6">
          <cell r="H6">
            <v>1790252.26</v>
          </cell>
          <cell r="L6">
            <v>1279232.49</v>
          </cell>
        </row>
        <row r="8">
          <cell r="H8">
            <v>0</v>
          </cell>
          <cell r="L8">
            <v>0</v>
          </cell>
        </row>
        <row r="13">
          <cell r="H13">
            <v>1368072</v>
          </cell>
          <cell r="L13">
            <v>1051701.75</v>
          </cell>
        </row>
        <row r="18">
          <cell r="H18">
            <v>118819</v>
          </cell>
          <cell r="L18">
            <v>132076</v>
          </cell>
        </row>
        <row r="20">
          <cell r="H20">
            <v>402754.1</v>
          </cell>
          <cell r="L20">
            <v>224643.76</v>
          </cell>
        </row>
        <row r="21">
          <cell r="H21">
            <v>44481.85</v>
          </cell>
          <cell r="L21">
            <v>29170.65</v>
          </cell>
        </row>
        <row r="23">
          <cell r="H23">
            <v>21407.119999999999</v>
          </cell>
          <cell r="L23">
            <v>15955</v>
          </cell>
        </row>
        <row r="27">
          <cell r="H27">
            <v>441294.44</v>
          </cell>
          <cell r="L27">
            <v>768082</v>
          </cell>
        </row>
        <row r="32">
          <cell r="H32">
            <v>5000</v>
          </cell>
          <cell r="L32">
            <v>0</v>
          </cell>
        </row>
        <row r="33">
          <cell r="H33">
            <v>30005</v>
          </cell>
          <cell r="L33">
            <v>206309.04</v>
          </cell>
        </row>
        <row r="34">
          <cell r="H34">
            <v>14090.02</v>
          </cell>
          <cell r="L34">
            <v>21109.64</v>
          </cell>
        </row>
        <row r="35">
          <cell r="H35">
            <v>37743.599999999999</v>
          </cell>
          <cell r="L35">
            <v>11002.27</v>
          </cell>
        </row>
        <row r="40">
          <cell r="H40">
            <v>59803</v>
          </cell>
          <cell r="L40">
            <v>50774.15</v>
          </cell>
        </row>
        <row r="42">
          <cell r="H42">
            <v>13366.44</v>
          </cell>
          <cell r="L42">
            <v>38167.74</v>
          </cell>
        </row>
        <row r="45">
          <cell r="H45">
            <v>27186.799999999999</v>
          </cell>
          <cell r="L45">
            <v>60676.43</v>
          </cell>
        </row>
        <row r="46">
          <cell r="L46">
            <v>0</v>
          </cell>
        </row>
        <row r="59">
          <cell r="H59">
            <v>401999.84</v>
          </cell>
          <cell r="L59">
            <v>306899.94</v>
          </cell>
        </row>
        <row r="60">
          <cell r="H60">
            <v>660904.37</v>
          </cell>
          <cell r="L60">
            <v>343476.52</v>
          </cell>
        </row>
        <row r="61">
          <cell r="H61">
            <v>329015.34000000003</v>
          </cell>
          <cell r="L61">
            <v>360000.55</v>
          </cell>
        </row>
        <row r="62">
          <cell r="H62">
            <v>91677.37</v>
          </cell>
          <cell r="L62">
            <v>25496.7</v>
          </cell>
        </row>
        <row r="63">
          <cell r="H63">
            <v>0</v>
          </cell>
          <cell r="L63">
            <v>2921.57</v>
          </cell>
        </row>
        <row r="64">
          <cell r="H64">
            <v>497014.34</v>
          </cell>
          <cell r="L64">
            <v>222519.7</v>
          </cell>
        </row>
        <row r="68">
          <cell r="H68">
            <v>3005359.14</v>
          </cell>
          <cell r="L68">
            <v>2625545.4700000002</v>
          </cell>
        </row>
        <row r="69">
          <cell r="H69">
            <v>1077093.33</v>
          </cell>
          <cell r="L69">
            <v>621066.66</v>
          </cell>
        </row>
        <row r="70">
          <cell r="L70">
            <v>25575</v>
          </cell>
        </row>
        <row r="71">
          <cell r="H71">
            <v>164119.72</v>
          </cell>
          <cell r="L71">
            <v>117749.09</v>
          </cell>
        </row>
        <row r="75">
          <cell r="H75">
            <v>0</v>
          </cell>
          <cell r="L75">
            <v>0</v>
          </cell>
        </row>
        <row r="76">
          <cell r="H76">
            <v>74383.58</v>
          </cell>
          <cell r="L76">
            <v>41958.7</v>
          </cell>
        </row>
        <row r="77">
          <cell r="H77">
            <v>102071.61</v>
          </cell>
          <cell r="L77">
            <v>123984.14</v>
          </cell>
        </row>
        <row r="78">
          <cell r="H78">
            <v>631275.63</v>
          </cell>
          <cell r="L78">
            <v>481928.98</v>
          </cell>
        </row>
        <row r="79">
          <cell r="L79">
            <v>0</v>
          </cell>
        </row>
        <row r="81">
          <cell r="H81">
            <v>0.25</v>
          </cell>
          <cell r="L81">
            <v>211436.47</v>
          </cell>
        </row>
        <row r="82">
          <cell r="H82">
            <v>625210.29</v>
          </cell>
          <cell r="L82">
            <v>527185.4</v>
          </cell>
        </row>
        <row r="83">
          <cell r="H83">
            <v>0</v>
          </cell>
          <cell r="L83">
            <v>6661.5</v>
          </cell>
        </row>
        <row r="87">
          <cell r="L87">
            <v>30924</v>
          </cell>
        </row>
        <row r="88">
          <cell r="L88">
            <v>3540.6</v>
          </cell>
        </row>
        <row r="89">
          <cell r="L89">
            <v>4216.8</v>
          </cell>
        </row>
        <row r="90">
          <cell r="L90">
            <v>0</v>
          </cell>
        </row>
        <row r="91">
          <cell r="L91">
            <v>30</v>
          </cell>
        </row>
        <row r="92">
          <cell r="L92">
            <v>16445.11</v>
          </cell>
        </row>
        <row r="93">
          <cell r="L93">
            <v>30</v>
          </cell>
        </row>
        <row r="94">
          <cell r="L94">
            <v>330</v>
          </cell>
        </row>
        <row r="95">
          <cell r="L95">
            <v>1800</v>
          </cell>
        </row>
        <row r="96">
          <cell r="L96">
            <v>63250</v>
          </cell>
        </row>
        <row r="102">
          <cell r="H102">
            <v>115391.32</v>
          </cell>
          <cell r="L102">
            <v>123059.01</v>
          </cell>
        </row>
        <row r="103">
          <cell r="H103">
            <v>137306.07999999999</v>
          </cell>
          <cell r="L103">
            <v>88668.96</v>
          </cell>
        </row>
        <row r="104">
          <cell r="H104">
            <v>137722.6</v>
          </cell>
          <cell r="L104">
            <v>106347.67</v>
          </cell>
        </row>
        <row r="112">
          <cell r="H112">
            <v>799950.71</v>
          </cell>
          <cell r="L112">
            <v>554694.64</v>
          </cell>
        </row>
        <row r="113">
          <cell r="H113">
            <v>581877.04</v>
          </cell>
          <cell r="L113">
            <v>517074.46</v>
          </cell>
        </row>
        <row r="114">
          <cell r="H114">
            <v>106439.01</v>
          </cell>
          <cell r="L114">
            <v>92059.61</v>
          </cell>
        </row>
        <row r="120">
          <cell r="H120">
            <v>188561.07</v>
          </cell>
          <cell r="L120">
            <v>135000</v>
          </cell>
        </row>
        <row r="121">
          <cell r="H121">
            <v>36531.050000000003</v>
          </cell>
          <cell r="L121">
            <v>13798.75</v>
          </cell>
        </row>
        <row r="130">
          <cell r="H130">
            <v>95206.91</v>
          </cell>
          <cell r="L130">
            <v>76712.23</v>
          </cell>
        </row>
        <row r="131">
          <cell r="H131">
            <v>0</v>
          </cell>
          <cell r="L131">
            <v>0</v>
          </cell>
        </row>
        <row r="133">
          <cell r="H133">
            <v>254345.7</v>
          </cell>
          <cell r="L133">
            <v>287388.78999999998</v>
          </cell>
        </row>
        <row r="137">
          <cell r="H137">
            <v>0</v>
          </cell>
          <cell r="L137">
            <v>354.63</v>
          </cell>
        </row>
        <row r="138">
          <cell r="H138">
            <v>50900.57</v>
          </cell>
          <cell r="L138">
            <v>41900.730000000003</v>
          </cell>
        </row>
        <row r="139">
          <cell r="H139">
            <v>0</v>
          </cell>
          <cell r="L139">
            <v>0</v>
          </cell>
        </row>
        <row r="140">
          <cell r="H140">
            <v>18092.02</v>
          </cell>
          <cell r="L140">
            <v>12288.91</v>
          </cell>
        </row>
        <row r="141">
          <cell r="H141">
            <v>191.92</v>
          </cell>
          <cell r="L141">
            <v>5959.17</v>
          </cell>
        </row>
        <row r="142">
          <cell r="H142">
            <v>5919.6</v>
          </cell>
          <cell r="L142">
            <v>24472.42</v>
          </cell>
        </row>
        <row r="143">
          <cell r="H143">
            <v>51111.97</v>
          </cell>
          <cell r="L143">
            <v>33061.379999999997</v>
          </cell>
        </row>
        <row r="144">
          <cell r="H144">
            <v>278735.49</v>
          </cell>
          <cell r="L144">
            <v>279694.02</v>
          </cell>
        </row>
        <row r="146">
          <cell r="H146">
            <v>149934.94</v>
          </cell>
          <cell r="L146">
            <v>198598.5</v>
          </cell>
        </row>
        <row r="147">
          <cell r="H147">
            <v>84.43</v>
          </cell>
          <cell r="L147">
            <v>0</v>
          </cell>
        </row>
        <row r="148">
          <cell r="H148">
            <v>10905.46</v>
          </cell>
          <cell r="L148">
            <v>31357.05</v>
          </cell>
        </row>
        <row r="149">
          <cell r="H149">
            <v>175086.8</v>
          </cell>
          <cell r="L149">
            <v>91283.77</v>
          </cell>
        </row>
        <row r="150">
          <cell r="L150">
            <v>29656.38</v>
          </cell>
        </row>
        <row r="151">
          <cell r="L151">
            <v>10439.17</v>
          </cell>
        </row>
        <row r="152">
          <cell r="L152">
            <v>10750</v>
          </cell>
        </row>
        <row r="153">
          <cell r="H153">
            <v>16315.26</v>
          </cell>
          <cell r="L153">
            <v>8588.07</v>
          </cell>
        </row>
        <row r="155">
          <cell r="H155">
            <v>20195</v>
          </cell>
          <cell r="L155">
            <v>18519.5</v>
          </cell>
        </row>
        <row r="156">
          <cell r="H156">
            <v>26096.94</v>
          </cell>
          <cell r="L156">
            <v>30569.86</v>
          </cell>
        </row>
        <row r="157">
          <cell r="H157">
            <v>235026.17</v>
          </cell>
          <cell r="L157">
            <v>180713.38</v>
          </cell>
        </row>
        <row r="158">
          <cell r="H158">
            <v>5942.22</v>
          </cell>
          <cell r="L158">
            <v>6551.07</v>
          </cell>
        </row>
        <row r="160">
          <cell r="H160">
            <v>11286.82</v>
          </cell>
          <cell r="L160">
            <v>41080.49</v>
          </cell>
        </row>
        <row r="161">
          <cell r="H161">
            <v>34744.25</v>
          </cell>
          <cell r="L161">
            <v>43131.47</v>
          </cell>
        </row>
        <row r="162">
          <cell r="H162">
            <v>8904.4</v>
          </cell>
          <cell r="L162">
            <v>13231.43</v>
          </cell>
        </row>
        <row r="163">
          <cell r="H163">
            <v>340.72</v>
          </cell>
          <cell r="L163">
            <v>1224.57</v>
          </cell>
        </row>
        <row r="165">
          <cell r="H165">
            <v>53968.55</v>
          </cell>
          <cell r="L165">
            <v>75327.210000000006</v>
          </cell>
        </row>
        <row r="166">
          <cell r="H166">
            <v>118269.81</v>
          </cell>
          <cell r="L166">
            <v>102256.6</v>
          </cell>
        </row>
        <row r="167">
          <cell r="H167">
            <v>129253.54</v>
          </cell>
          <cell r="L167">
            <v>116331.3</v>
          </cell>
        </row>
        <row r="169">
          <cell r="H169">
            <v>93135.13</v>
          </cell>
          <cell r="L169">
            <v>77775.5</v>
          </cell>
        </row>
        <row r="180">
          <cell r="L180">
            <v>4215.71</v>
          </cell>
        </row>
        <row r="182">
          <cell r="H182">
            <v>72559.710000000006</v>
          </cell>
          <cell r="L182">
            <v>79543.05</v>
          </cell>
        </row>
        <row r="183">
          <cell r="H183">
            <v>16674.439999999999</v>
          </cell>
          <cell r="L183">
            <v>400</v>
          </cell>
        </row>
        <row r="185">
          <cell r="H185">
            <v>1368072</v>
          </cell>
          <cell r="L185">
            <v>1051704</v>
          </cell>
        </row>
        <row r="186">
          <cell r="H186">
            <v>529458.6</v>
          </cell>
          <cell r="L186">
            <v>371443.23</v>
          </cell>
        </row>
        <row r="187">
          <cell r="H187">
            <v>1750.06</v>
          </cell>
          <cell r="L187">
            <v>0</v>
          </cell>
        </row>
        <row r="190">
          <cell r="H190">
            <v>65429.8</v>
          </cell>
          <cell r="L190">
            <v>20501</v>
          </cell>
        </row>
        <row r="191">
          <cell r="H191">
            <v>81702.06</v>
          </cell>
          <cell r="L191">
            <v>80153.02</v>
          </cell>
        </row>
        <row r="192">
          <cell r="H192">
            <v>0</v>
          </cell>
          <cell r="L192">
            <v>0</v>
          </cell>
        </row>
        <row r="193">
          <cell r="H193">
            <v>0</v>
          </cell>
          <cell r="L193">
            <v>0</v>
          </cell>
        </row>
        <row r="194">
          <cell r="H194">
            <v>102167.64</v>
          </cell>
          <cell r="L194">
            <v>87994.95</v>
          </cell>
        </row>
        <row r="197">
          <cell r="H197">
            <v>274513.7</v>
          </cell>
          <cell r="L197">
            <v>193789.52</v>
          </cell>
        </row>
        <row r="199">
          <cell r="L199">
            <v>10082.25</v>
          </cell>
        </row>
      </sheetData>
      <sheetData sheetId="14">
        <row r="17">
          <cell r="F17">
            <v>596</v>
          </cell>
        </row>
      </sheetData>
      <sheetData sheetId="15">
        <row r="106">
          <cell r="H106">
            <v>92820</v>
          </cell>
        </row>
        <row r="107">
          <cell r="H107">
            <v>1076030</v>
          </cell>
        </row>
        <row r="108">
          <cell r="H108">
            <v>3142318.1578000002</v>
          </cell>
        </row>
        <row r="109">
          <cell r="H109">
            <v>323745</v>
          </cell>
        </row>
        <row r="110">
          <cell r="H110">
            <v>436636</v>
          </cell>
        </row>
        <row r="111">
          <cell r="H111">
            <v>168897</v>
          </cell>
        </row>
        <row r="112">
          <cell r="H112">
            <v>582416</v>
          </cell>
        </row>
        <row r="113">
          <cell r="H113">
            <v>793379.66250000009</v>
          </cell>
        </row>
        <row r="114">
          <cell r="H114">
            <v>323497</v>
          </cell>
        </row>
        <row r="115">
          <cell r="H115">
            <v>100326.45000000001</v>
          </cell>
        </row>
        <row r="116">
          <cell r="H116">
            <v>70996</v>
          </cell>
        </row>
        <row r="117">
          <cell r="H117">
            <v>409200</v>
          </cell>
        </row>
        <row r="118">
          <cell r="H118">
            <v>187320</v>
          </cell>
        </row>
        <row r="119">
          <cell r="H119">
            <v>102440</v>
          </cell>
        </row>
        <row r="120">
          <cell r="H120">
            <v>120499</v>
          </cell>
        </row>
        <row r="121">
          <cell r="H121">
            <v>135002</v>
          </cell>
        </row>
      </sheetData>
      <sheetData sheetId="16">
        <row r="9">
          <cell r="E9">
            <v>220000</v>
          </cell>
        </row>
        <row r="10">
          <cell r="E10">
            <v>75000</v>
          </cell>
        </row>
        <row r="11">
          <cell r="E11">
            <v>0</v>
          </cell>
        </row>
        <row r="12">
          <cell r="E12">
            <v>323995.37</v>
          </cell>
        </row>
        <row r="13">
          <cell r="E13">
            <v>99967.255500000014</v>
          </cell>
        </row>
      </sheetData>
      <sheetData sheetId="17"/>
      <sheetData sheetId="18">
        <row r="9">
          <cell r="E9">
            <v>56201.739000000001</v>
          </cell>
        </row>
        <row r="10">
          <cell r="E10">
            <v>1500</v>
          </cell>
        </row>
        <row r="11">
          <cell r="E11">
            <v>25000</v>
          </cell>
        </row>
        <row r="12">
          <cell r="E12">
            <v>55000</v>
          </cell>
        </row>
        <row r="13">
          <cell r="E13">
            <v>25000</v>
          </cell>
        </row>
        <row r="14">
          <cell r="E14">
            <v>230849.49000000002</v>
          </cell>
        </row>
        <row r="15">
          <cell r="E15">
            <v>54545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50000</v>
          </cell>
        </row>
        <row r="19">
          <cell r="E19">
            <v>0</v>
          </cell>
        </row>
        <row r="20">
          <cell r="E20">
            <v>120000</v>
          </cell>
        </row>
        <row r="21">
          <cell r="E21">
            <v>15000</v>
          </cell>
        </row>
        <row r="22">
          <cell r="E22">
            <v>30000</v>
          </cell>
        </row>
        <row r="23">
          <cell r="E23">
            <v>120000</v>
          </cell>
        </row>
        <row r="24">
          <cell r="E24">
            <v>156027.38999999993</v>
          </cell>
        </row>
        <row r="27">
          <cell r="E27">
            <v>85000</v>
          </cell>
        </row>
        <row r="28">
          <cell r="E28">
            <v>130000</v>
          </cell>
        </row>
        <row r="29">
          <cell r="E29">
            <v>7500</v>
          </cell>
        </row>
        <row r="34">
          <cell r="E34">
            <v>60000</v>
          </cell>
        </row>
        <row r="35">
          <cell r="E35">
            <v>500000</v>
          </cell>
        </row>
        <row r="36">
          <cell r="E36">
            <v>0</v>
          </cell>
        </row>
        <row r="37">
          <cell r="E37">
            <v>10000</v>
          </cell>
        </row>
        <row r="40">
          <cell r="E40">
            <v>250000</v>
          </cell>
        </row>
        <row r="41">
          <cell r="E41">
            <v>7500</v>
          </cell>
        </row>
        <row r="42">
          <cell r="E42">
            <v>5000</v>
          </cell>
        </row>
        <row r="43">
          <cell r="E43">
            <v>1000</v>
          </cell>
        </row>
        <row r="44">
          <cell r="E44">
            <v>10000</v>
          </cell>
        </row>
        <row r="45">
          <cell r="E45">
            <v>5000</v>
          </cell>
        </row>
        <row r="46">
          <cell r="E46">
            <v>10000</v>
          </cell>
        </row>
        <row r="47">
          <cell r="E47">
            <v>10000</v>
          </cell>
        </row>
        <row r="50">
          <cell r="E50">
            <v>93747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</sheetData>
      <sheetData sheetId="19"/>
      <sheetData sheetId="20"/>
      <sheetData sheetId="21"/>
      <sheetData sheetId="22">
        <row r="9">
          <cell r="E9">
            <v>1402269</v>
          </cell>
        </row>
        <row r="10">
          <cell r="E10">
            <v>112384.40400000001</v>
          </cell>
        </row>
        <row r="11">
          <cell r="E11">
            <v>30000</v>
          </cell>
        </row>
        <row r="12">
          <cell r="E12">
            <v>100142.54399999999</v>
          </cell>
        </row>
        <row r="13">
          <cell r="E13">
            <v>0</v>
          </cell>
        </row>
        <row r="14">
          <cell r="E14">
            <v>20009.327999999998</v>
          </cell>
        </row>
        <row r="15">
          <cell r="E15">
            <v>0</v>
          </cell>
        </row>
        <row r="20">
          <cell r="K20">
            <v>222871.26730000001</v>
          </cell>
        </row>
      </sheetData>
      <sheetData sheetId="23">
        <row r="9">
          <cell r="K9">
            <v>495257.63063063077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F9CB-C5E2-470E-9A4C-4A19974B724E}">
  <dimension ref="A1:J68"/>
  <sheetViews>
    <sheetView topLeftCell="A5" zoomScaleNormal="100" workbookViewId="0">
      <pane ySplit="4" topLeftCell="A12" activePane="bottomLeft" state="frozen"/>
      <selection activeCell="A5" sqref="A5"/>
      <selection pane="bottomLeft" activeCell="J26" sqref="J26"/>
    </sheetView>
  </sheetViews>
  <sheetFormatPr defaultRowHeight="14" x14ac:dyDescent="0.3"/>
  <cols>
    <col min="1" max="2" width="4.09765625" style="59" customWidth="1"/>
    <col min="3" max="3" width="56.8984375" style="59" customWidth="1"/>
    <col min="4" max="6" width="13.3984375" style="59" customWidth="1"/>
    <col min="7" max="7" width="14.8984375" style="59" bestFit="1" customWidth="1"/>
    <col min="8" max="8" width="0.8984375" style="59" customWidth="1"/>
    <col min="9" max="9" width="17.69921875" style="59" bestFit="1" customWidth="1"/>
    <col min="10" max="10" width="32.8984375" bestFit="1" customWidth="1"/>
  </cols>
  <sheetData>
    <row r="1" spans="1:10" ht="22.5" x14ac:dyDescent="0.45">
      <c r="A1" s="389" t="s">
        <v>0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0" ht="18" x14ac:dyDescent="0.4">
      <c r="A2" s="390" t="s">
        <v>302</v>
      </c>
      <c r="B2" s="390"/>
      <c r="C2" s="390"/>
      <c r="D2" s="390"/>
      <c r="E2" s="390"/>
      <c r="F2" s="390"/>
      <c r="G2" s="390"/>
      <c r="H2" s="390"/>
      <c r="I2" s="390"/>
      <c r="J2" s="390"/>
    </row>
    <row r="3" spans="1:10" ht="18" x14ac:dyDescent="0.4">
      <c r="A3" s="390" t="s">
        <v>19</v>
      </c>
      <c r="B3" s="390"/>
      <c r="C3" s="390"/>
      <c r="D3" s="390"/>
      <c r="E3" s="390"/>
      <c r="F3" s="390"/>
      <c r="G3" s="390"/>
      <c r="H3" s="390"/>
      <c r="I3" s="390"/>
      <c r="J3" s="390"/>
    </row>
    <row r="4" spans="1:10" ht="18" x14ac:dyDescent="0.4">
      <c r="A4" s="390" t="s">
        <v>303</v>
      </c>
      <c r="B4" s="390"/>
      <c r="C4" s="390"/>
      <c r="D4" s="390"/>
      <c r="E4" s="390"/>
      <c r="F4" s="390"/>
      <c r="G4" s="390"/>
      <c r="H4" s="390"/>
      <c r="I4" s="390"/>
      <c r="J4" s="390"/>
    </row>
    <row r="5" spans="1:10" ht="18.5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D6" s="391" t="s">
        <v>2</v>
      </c>
      <c r="E6" s="392"/>
      <c r="F6" s="392"/>
      <c r="G6" s="393"/>
      <c r="H6" s="160"/>
      <c r="I6" s="311" t="s">
        <v>19</v>
      </c>
      <c r="J6" t="s">
        <v>321</v>
      </c>
    </row>
    <row r="7" spans="1:10" x14ac:dyDescent="0.3">
      <c r="D7" s="161" t="s">
        <v>161</v>
      </c>
      <c r="E7" s="162" t="s">
        <v>297</v>
      </c>
      <c r="F7" s="162" t="s">
        <v>293</v>
      </c>
      <c r="G7" s="163" t="s">
        <v>162</v>
      </c>
      <c r="H7" s="160"/>
      <c r="I7" s="312" t="s">
        <v>163</v>
      </c>
    </row>
    <row r="8" spans="1:10" ht="14.5" thickBot="1" x14ac:dyDescent="0.35">
      <c r="C8" s="221"/>
      <c r="D8" s="167" t="s">
        <v>109</v>
      </c>
      <c r="E8" s="310">
        <v>45016</v>
      </c>
      <c r="F8" s="168" t="s">
        <v>108</v>
      </c>
      <c r="G8" s="169" t="s">
        <v>109</v>
      </c>
      <c r="H8" s="160"/>
      <c r="I8" s="312" t="s">
        <v>109</v>
      </c>
    </row>
    <row r="9" spans="1:10" x14ac:dyDescent="0.3">
      <c r="A9" s="128"/>
      <c r="B9" s="288"/>
      <c r="C9" s="289" t="s">
        <v>165</v>
      </c>
      <c r="D9" s="171">
        <v>15887877.6</v>
      </c>
      <c r="E9" s="290">
        <f>E28</f>
        <v>14285826.210000001</v>
      </c>
      <c r="F9" s="290">
        <f>F28</f>
        <v>240000</v>
      </c>
      <c r="G9" s="173">
        <f>E9/D9</f>
        <v>0.89916517294921772</v>
      </c>
      <c r="H9" s="174"/>
      <c r="I9" s="313">
        <f>I28</f>
        <v>16931716.399999999</v>
      </c>
    </row>
    <row r="10" spans="1:10" x14ac:dyDescent="0.3">
      <c r="A10" s="93"/>
      <c r="B10" s="291"/>
      <c r="C10" s="177"/>
      <c r="D10" s="198"/>
      <c r="E10" s="182"/>
      <c r="F10" s="182"/>
      <c r="G10" s="180"/>
      <c r="H10" s="181"/>
      <c r="I10" s="314"/>
    </row>
    <row r="11" spans="1:10" x14ac:dyDescent="0.3">
      <c r="A11" s="128"/>
      <c r="B11" s="128"/>
      <c r="C11" s="170" t="s">
        <v>166</v>
      </c>
      <c r="D11" s="292">
        <v>14298735.467563</v>
      </c>
      <c r="E11" s="293">
        <f>E43</f>
        <v>13571121.82</v>
      </c>
      <c r="F11" s="293">
        <f>F43</f>
        <v>0</v>
      </c>
      <c r="G11" s="186">
        <f>E11/D11</f>
        <v>0.94911342690312672</v>
      </c>
      <c r="H11" s="174"/>
      <c r="I11" s="315">
        <f>I43</f>
        <v>16033461.576909093</v>
      </c>
    </row>
    <row r="12" spans="1:10" x14ac:dyDescent="0.3">
      <c r="A12" s="93"/>
      <c r="B12" s="93"/>
      <c r="C12" s="177"/>
      <c r="D12" s="178"/>
      <c r="E12" s="182"/>
      <c r="F12" s="182"/>
      <c r="G12" s="180"/>
      <c r="H12" s="181"/>
      <c r="I12" s="316"/>
    </row>
    <row r="13" spans="1:10" x14ac:dyDescent="0.3">
      <c r="A13" s="189"/>
      <c r="B13" s="189"/>
      <c r="C13" s="190" t="s">
        <v>167</v>
      </c>
      <c r="D13" s="294">
        <v>1589142.1324370001</v>
      </c>
      <c r="E13" s="295">
        <f>E9-E11</f>
        <v>714704.3900000006</v>
      </c>
      <c r="F13" s="295">
        <f>F9-F11</f>
        <v>240000</v>
      </c>
      <c r="G13" s="193">
        <f>E13/D13</f>
        <v>0.44974227000323669</v>
      </c>
      <c r="H13" s="194"/>
      <c r="I13" s="317">
        <f>I9-I11</f>
        <v>898254.82309090532</v>
      </c>
    </row>
    <row r="14" spans="1:10" x14ac:dyDescent="0.3">
      <c r="A14" s="93"/>
      <c r="B14" s="93"/>
      <c r="C14" s="177"/>
      <c r="D14" s="178"/>
      <c r="E14" s="182"/>
      <c r="F14" s="182"/>
      <c r="G14" s="180"/>
      <c r="H14" s="181"/>
      <c r="I14" s="316"/>
    </row>
    <row r="15" spans="1:10" x14ac:dyDescent="0.3">
      <c r="A15" s="93"/>
      <c r="B15" s="93"/>
      <c r="C15" s="197" t="s">
        <v>168</v>
      </c>
      <c r="D15" s="178">
        <v>-718128.89793063072</v>
      </c>
      <c r="E15" s="182">
        <f>E47</f>
        <v>-620348.68999999994</v>
      </c>
      <c r="F15" s="182">
        <f>F47</f>
        <v>0</v>
      </c>
      <c r="G15" s="180">
        <f>E15/D15</f>
        <v>0.86384031026686792</v>
      </c>
      <c r="H15" s="181"/>
      <c r="I15" s="316">
        <f>I47</f>
        <v>-460200.63063063077</v>
      </c>
    </row>
    <row r="16" spans="1:10" x14ac:dyDescent="0.3">
      <c r="A16" s="93"/>
      <c r="B16" s="93"/>
      <c r="C16" s="177"/>
      <c r="D16" s="178"/>
      <c r="E16" s="182"/>
      <c r="F16" s="182"/>
      <c r="G16" s="180"/>
      <c r="H16" s="181"/>
      <c r="I16" s="316"/>
    </row>
    <row r="17" spans="1:10" x14ac:dyDescent="0.3">
      <c r="A17" s="189"/>
      <c r="B17" s="189"/>
      <c r="C17" s="190" t="s">
        <v>169</v>
      </c>
      <c r="D17" s="191">
        <v>871013.23450636934</v>
      </c>
      <c r="E17" s="295">
        <f>E13+E15</f>
        <v>94355.700000000652</v>
      </c>
      <c r="F17" s="295">
        <f>F13+F15</f>
        <v>240000</v>
      </c>
      <c r="G17" s="193">
        <f>E17/D17</f>
        <v>0.108328663976587</v>
      </c>
      <c r="H17" s="194"/>
      <c r="I17" s="318">
        <f>I13+I15</f>
        <v>438054.19246027456</v>
      </c>
    </row>
    <row r="18" spans="1:10" x14ac:dyDescent="0.3">
      <c r="A18" s="189"/>
      <c r="B18" s="189"/>
      <c r="C18" s="190"/>
      <c r="D18" s="191"/>
      <c r="E18" s="295"/>
      <c r="F18" s="295"/>
      <c r="G18" s="193"/>
      <c r="H18" s="194"/>
      <c r="I18" s="318"/>
    </row>
    <row r="19" spans="1:10" ht="14.5" thickBot="1" x14ac:dyDescent="0.35">
      <c r="A19" s="93"/>
      <c r="B19" s="93"/>
      <c r="C19" s="203" t="s">
        <v>170</v>
      </c>
      <c r="D19" s="204">
        <v>596</v>
      </c>
      <c r="E19" s="207">
        <v>586.6</v>
      </c>
      <c r="F19" s="207"/>
      <c r="G19" s="206">
        <f>E19/D19</f>
        <v>0.98422818791946309</v>
      </c>
      <c r="H19" s="181"/>
      <c r="I19" s="319"/>
    </row>
    <row r="20" spans="1:10" x14ac:dyDescent="0.3">
      <c r="D20" s="296"/>
      <c r="E20" s="297"/>
      <c r="F20" s="297"/>
      <c r="G20" s="298"/>
      <c r="H20" s="160"/>
      <c r="I20" s="320"/>
    </row>
    <row r="21" spans="1:10" x14ac:dyDescent="0.3">
      <c r="A21" s="215" t="s">
        <v>171</v>
      </c>
      <c r="D21" s="296"/>
      <c r="E21" s="297"/>
      <c r="F21" s="297"/>
      <c r="G21" s="298"/>
      <c r="H21" s="160"/>
      <c r="I21" s="320"/>
    </row>
    <row r="22" spans="1:10" x14ac:dyDescent="0.3">
      <c r="B22" s="59" t="s">
        <v>22</v>
      </c>
      <c r="D22" s="222">
        <v>12297425</v>
      </c>
      <c r="E22" s="217">
        <f>Details!E25</f>
        <v>11050555.66</v>
      </c>
      <c r="F22" s="217"/>
      <c r="G22" s="298">
        <f>E22/D22</f>
        <v>0.89860728241888044</v>
      </c>
      <c r="H22" s="160"/>
      <c r="I22" s="321">
        <f>Details!I25</f>
        <v>12573040.9</v>
      </c>
      <c r="J22" t="s">
        <v>322</v>
      </c>
    </row>
    <row r="23" spans="1:10" x14ac:dyDescent="0.3">
      <c r="B23" s="59" t="s">
        <v>304</v>
      </c>
      <c r="D23" s="216">
        <v>1402269</v>
      </c>
      <c r="E23" s="217">
        <f>Details!E29</f>
        <v>1285413.25</v>
      </c>
      <c r="F23" s="217"/>
      <c r="G23" s="298">
        <f t="shared" ref="G23:G26" si="0">E23/D23</f>
        <v>0.91666666666666663</v>
      </c>
      <c r="H23" s="160"/>
      <c r="I23" s="322">
        <f>Details!I29</f>
        <v>1437326</v>
      </c>
      <c r="J23" t="s">
        <v>323</v>
      </c>
    </row>
    <row r="24" spans="1:10" x14ac:dyDescent="0.3">
      <c r="B24" s="59" t="s">
        <v>178</v>
      </c>
      <c r="D24" s="216">
        <v>2158183.6</v>
      </c>
      <c r="E24" s="217">
        <f>Details!E36</f>
        <v>1420883.9100000001</v>
      </c>
      <c r="F24" s="217"/>
      <c r="G24" s="298">
        <f t="shared" si="0"/>
        <v>0.65837026562522305</v>
      </c>
      <c r="H24" s="160"/>
      <c r="I24" s="322">
        <f>Details!I36</f>
        <v>2416349.5</v>
      </c>
      <c r="J24" t="s">
        <v>324</v>
      </c>
    </row>
    <row r="25" spans="1:10" x14ac:dyDescent="0.3">
      <c r="B25" s="59" t="s">
        <v>305</v>
      </c>
      <c r="D25" s="216">
        <v>10000</v>
      </c>
      <c r="E25" s="217">
        <f>Details!E42</f>
        <v>368395.20999999996</v>
      </c>
      <c r="F25" s="217">
        <v>240000</v>
      </c>
      <c r="G25" s="298">
        <f t="shared" si="0"/>
        <v>36.839520999999998</v>
      </c>
      <c r="H25" s="160"/>
      <c r="I25" s="322">
        <f>Details!I42</f>
        <v>105000</v>
      </c>
    </row>
    <row r="26" spans="1:10" x14ac:dyDescent="0.3">
      <c r="B26" s="59" t="s">
        <v>306</v>
      </c>
      <c r="D26" s="216">
        <v>20000</v>
      </c>
      <c r="E26" s="217">
        <f>Details!E48</f>
        <v>160578.18</v>
      </c>
      <c r="F26" s="217"/>
      <c r="G26" s="298">
        <f t="shared" si="0"/>
        <v>8.0289090000000005</v>
      </c>
      <c r="H26" s="160"/>
      <c r="I26" s="322">
        <f>Details!I48</f>
        <v>400000</v>
      </c>
      <c r="J26" t="s">
        <v>325</v>
      </c>
    </row>
    <row r="27" spans="1:10" x14ac:dyDescent="0.3">
      <c r="D27" s="232"/>
      <c r="E27" s="233"/>
      <c r="F27" s="233"/>
      <c r="G27" s="299"/>
      <c r="H27" s="160"/>
      <c r="I27" s="323"/>
    </row>
    <row r="28" spans="1:10" x14ac:dyDescent="0.3">
      <c r="A28" s="9" t="s">
        <v>307</v>
      </c>
      <c r="B28" s="9"/>
      <c r="C28" s="9"/>
      <c r="D28" s="237">
        <v>15887877.6</v>
      </c>
      <c r="E28" s="238">
        <f>SUM(E22:E26)</f>
        <v>14285826.210000001</v>
      </c>
      <c r="F28" s="238">
        <f>SUM(F22:F26)</f>
        <v>240000</v>
      </c>
      <c r="G28" s="298">
        <f>E28/D28</f>
        <v>0.89916517294921772</v>
      </c>
      <c r="H28" s="300"/>
      <c r="I28" s="324">
        <f t="shared" ref="I28" si="1">SUM(I22:I26)</f>
        <v>16931716.399999999</v>
      </c>
    </row>
    <row r="29" spans="1:10" x14ac:dyDescent="0.3">
      <c r="D29" s="296"/>
      <c r="E29" s="217"/>
      <c r="F29" s="217"/>
      <c r="G29" s="298"/>
      <c r="H29" s="160"/>
      <c r="I29" s="320"/>
    </row>
    <row r="30" spans="1:10" x14ac:dyDescent="0.3">
      <c r="A30" s="215" t="s">
        <v>190</v>
      </c>
      <c r="D30" s="296"/>
      <c r="E30" s="217"/>
      <c r="F30" s="217"/>
      <c r="G30" s="298"/>
      <c r="H30" s="160"/>
      <c r="I30" s="320"/>
    </row>
    <row r="31" spans="1:10" x14ac:dyDescent="0.3">
      <c r="B31" s="59" t="s">
        <v>308</v>
      </c>
      <c r="D31" s="216">
        <v>8067022.2703000009</v>
      </c>
      <c r="E31" s="217">
        <f>Details!E93</f>
        <v>8073857.1900000004</v>
      </c>
      <c r="F31" s="217"/>
      <c r="G31" s="298">
        <f t="shared" ref="G31:G40" si="2">E31/D31</f>
        <v>1.0008472667449009</v>
      </c>
      <c r="H31" s="160"/>
      <c r="I31" s="322">
        <f>Details!I93</f>
        <v>9510819.9000000022</v>
      </c>
    </row>
    <row r="32" spans="1:10" x14ac:dyDescent="0.3">
      <c r="B32" s="59" t="s">
        <v>309</v>
      </c>
      <c r="D32" s="216">
        <v>726032.004327</v>
      </c>
      <c r="E32" s="217">
        <f>Details!E96</f>
        <v>717103.65</v>
      </c>
      <c r="F32" s="217"/>
      <c r="G32" s="298">
        <f t="shared" si="2"/>
        <v>0.98770253339551306</v>
      </c>
      <c r="H32" s="160"/>
      <c r="I32" s="322">
        <f>Details!I96</f>
        <v>855973.7910000002</v>
      </c>
    </row>
    <row r="33" spans="1:9" x14ac:dyDescent="0.3">
      <c r="B33" s="59" t="s">
        <v>310</v>
      </c>
      <c r="D33" s="216">
        <v>968042.6724360002</v>
      </c>
      <c r="E33" s="217">
        <f>Details!E101</f>
        <v>739891.62000000011</v>
      </c>
      <c r="F33" s="217"/>
      <c r="G33" s="298">
        <f t="shared" si="2"/>
        <v>0.76431715364171227</v>
      </c>
      <c r="H33" s="160"/>
      <c r="I33" s="322">
        <f>Details!I101</f>
        <v>1046190.1890000002</v>
      </c>
    </row>
    <row r="34" spans="1:9" x14ac:dyDescent="0.3">
      <c r="B34" s="59" t="s">
        <v>311</v>
      </c>
      <c r="D34" s="216">
        <v>718962.62549999997</v>
      </c>
      <c r="E34" s="217">
        <f>Details!E111</f>
        <v>575753.35</v>
      </c>
      <c r="F34" s="217"/>
      <c r="G34" s="298">
        <f t="shared" si="2"/>
        <v>0.8008112377185036</v>
      </c>
      <c r="H34" s="160"/>
      <c r="I34" s="322">
        <f>Details!I111</f>
        <v>703790.20090909093</v>
      </c>
    </row>
    <row r="35" spans="1:9" x14ac:dyDescent="0.3">
      <c r="B35" s="59" t="s">
        <v>312</v>
      </c>
      <c r="D35" s="216">
        <v>969123.61899999995</v>
      </c>
      <c r="E35" s="217">
        <f>Details!E130</f>
        <v>943692.39999999991</v>
      </c>
      <c r="F35" s="217"/>
      <c r="G35" s="298">
        <f t="shared" si="2"/>
        <v>0.97375853967294546</v>
      </c>
      <c r="H35" s="160"/>
      <c r="I35" s="322">
        <f>Details!I130</f>
        <v>1084177.1830909094</v>
      </c>
    </row>
    <row r="36" spans="1:9" x14ac:dyDescent="0.3">
      <c r="B36" s="59" t="s">
        <v>313</v>
      </c>
      <c r="D36" s="216">
        <v>222500</v>
      </c>
      <c r="E36" s="217">
        <f>Details!E135</f>
        <v>231375.90999999997</v>
      </c>
      <c r="F36" s="217"/>
      <c r="G36" s="298">
        <f t="shared" si="2"/>
        <v>1.0398917303370785</v>
      </c>
      <c r="H36" s="160"/>
      <c r="I36" s="322">
        <f>Details!I135</f>
        <v>265030.58781818178</v>
      </c>
    </row>
    <row r="37" spans="1:9" x14ac:dyDescent="0.3">
      <c r="B37" s="59" t="s">
        <v>314</v>
      </c>
      <c r="D37" s="216">
        <v>570000</v>
      </c>
      <c r="E37" s="217">
        <f>Details!E143</f>
        <v>435931.47000000009</v>
      </c>
      <c r="F37" s="217"/>
      <c r="G37" s="298">
        <f t="shared" si="2"/>
        <v>0.76479205263157912</v>
      </c>
      <c r="H37" s="160"/>
      <c r="I37" s="322">
        <f>Details!I143</f>
        <v>499339.68381818198</v>
      </c>
    </row>
    <row r="38" spans="1:9" x14ac:dyDescent="0.3">
      <c r="B38" s="59" t="s">
        <v>315</v>
      </c>
      <c r="D38" s="216">
        <v>298500</v>
      </c>
      <c r="E38" s="217">
        <f>Details!E153+Details!E173</f>
        <v>214795.41</v>
      </c>
      <c r="F38" s="217"/>
      <c r="G38" s="298">
        <f t="shared" si="2"/>
        <v>0.71958261306532667</v>
      </c>
      <c r="H38" s="160"/>
      <c r="I38" s="322">
        <f>Details!I153+Details!I173</f>
        <v>234489.61963636367</v>
      </c>
    </row>
    <row r="39" spans="1:9" x14ac:dyDescent="0.3">
      <c r="B39" s="59" t="s">
        <v>316</v>
      </c>
      <c r="D39" s="216">
        <v>93747</v>
      </c>
      <c r="E39" s="217">
        <f>Details!E159</f>
        <v>97334.19</v>
      </c>
      <c r="F39" s="217"/>
      <c r="G39" s="298">
        <f t="shared" si="2"/>
        <v>1.0382645844667029</v>
      </c>
      <c r="H39" s="160"/>
      <c r="I39" s="322">
        <f>Details!I159</f>
        <v>103121.7</v>
      </c>
    </row>
    <row r="40" spans="1:9" x14ac:dyDescent="0.3">
      <c r="B40" s="59" t="s">
        <v>317</v>
      </c>
      <c r="D40" s="216">
        <v>1664805.2760000001</v>
      </c>
      <c r="E40" s="217">
        <f>Details!E168</f>
        <v>1541386.63</v>
      </c>
      <c r="F40" s="217"/>
      <c r="G40" s="298">
        <f t="shared" si="2"/>
        <v>0.92586601701759608</v>
      </c>
      <c r="H40" s="160"/>
      <c r="I40" s="322">
        <f>Details!I168</f>
        <v>1730528.7216363638</v>
      </c>
    </row>
    <row r="41" spans="1:9" x14ac:dyDescent="0.3">
      <c r="B41" s="59" t="s">
        <v>318</v>
      </c>
      <c r="D41" s="216">
        <v>0</v>
      </c>
      <c r="E41" s="217">
        <v>0</v>
      </c>
      <c r="F41" s="217"/>
      <c r="G41" s="298"/>
      <c r="H41" s="160"/>
      <c r="I41" s="322">
        <v>0</v>
      </c>
    </row>
    <row r="42" spans="1:9" x14ac:dyDescent="0.3">
      <c r="A42" s="9"/>
      <c r="D42" s="301"/>
      <c r="E42" s="233"/>
      <c r="F42" s="233"/>
      <c r="G42" s="299"/>
      <c r="H42" s="160"/>
      <c r="I42" s="325"/>
    </row>
    <row r="43" spans="1:9" x14ac:dyDescent="0.3">
      <c r="A43" s="9" t="s">
        <v>284</v>
      </c>
      <c r="B43" s="9"/>
      <c r="C43" s="9"/>
      <c r="D43" s="237">
        <v>14298735.467563</v>
      </c>
      <c r="E43" s="238">
        <f>SUM(E31:E41)</f>
        <v>13571121.82</v>
      </c>
      <c r="F43" s="238">
        <f>SUM(F31:F41)</f>
        <v>0</v>
      </c>
      <c r="G43" s="298">
        <f>E43/D43</f>
        <v>0.94911342690312672</v>
      </c>
      <c r="H43" s="300"/>
      <c r="I43" s="324">
        <f t="shared" ref="I43" si="3">SUM(I31:I41)</f>
        <v>16033461.576909093</v>
      </c>
    </row>
    <row r="44" spans="1:9" x14ac:dyDescent="0.3">
      <c r="A44" s="9"/>
      <c r="D44" s="301"/>
      <c r="E44" s="233"/>
      <c r="F44" s="233"/>
      <c r="G44" s="299"/>
      <c r="H44" s="160"/>
      <c r="I44" s="325"/>
    </row>
    <row r="45" spans="1:9" x14ac:dyDescent="0.3">
      <c r="A45" s="9" t="s">
        <v>319</v>
      </c>
      <c r="B45" s="9"/>
      <c r="C45" s="9"/>
      <c r="D45" s="237">
        <v>1589142.1324370001</v>
      </c>
      <c r="E45" s="238">
        <f>E28-E43</f>
        <v>714704.3900000006</v>
      </c>
      <c r="F45" s="238">
        <f>F28-F43</f>
        <v>240000</v>
      </c>
      <c r="G45" s="298">
        <f>E45/D45</f>
        <v>0.44974227000323669</v>
      </c>
      <c r="H45" s="300"/>
      <c r="I45" s="324">
        <f t="shared" ref="I45" si="4">I28-I43</f>
        <v>898254.82309090532</v>
      </c>
    </row>
    <row r="46" spans="1:9" x14ac:dyDescent="0.3">
      <c r="D46" s="301"/>
      <c r="E46" s="233"/>
      <c r="F46" s="233"/>
      <c r="G46" s="299"/>
      <c r="H46" s="160"/>
      <c r="I46" s="325"/>
    </row>
    <row r="47" spans="1:9" x14ac:dyDescent="0.3">
      <c r="A47" s="302"/>
      <c r="B47" s="115" t="s">
        <v>168</v>
      </c>
      <c r="C47" s="302"/>
      <c r="D47" s="303">
        <v>-718128.89793063072</v>
      </c>
      <c r="E47" s="304">
        <f>Details!E186</f>
        <v>-620348.68999999994</v>
      </c>
      <c r="F47" s="304"/>
      <c r="G47" s="305">
        <f>E47/D47</f>
        <v>0.86384031026686792</v>
      </c>
      <c r="H47" s="306"/>
      <c r="I47" s="326">
        <f>Details!I186</f>
        <v>-460200.63063063077</v>
      </c>
    </row>
    <row r="48" spans="1:9" x14ac:dyDescent="0.3">
      <c r="D48" s="301"/>
      <c r="E48" s="233"/>
      <c r="F48" s="233"/>
      <c r="G48" s="299"/>
      <c r="H48" s="160"/>
      <c r="I48" s="325"/>
    </row>
    <row r="49" spans="1:9" ht="14.5" thickBot="1" x14ac:dyDescent="0.35">
      <c r="A49" s="9" t="s">
        <v>320</v>
      </c>
      <c r="B49" s="9"/>
      <c r="C49" s="9"/>
      <c r="D49" s="307">
        <v>871013.23450636934</v>
      </c>
      <c r="E49" s="269">
        <f>E45+E47</f>
        <v>94355.700000000652</v>
      </c>
      <c r="F49" s="269">
        <f>F45+F47</f>
        <v>240000</v>
      </c>
      <c r="G49" s="308">
        <f>E49/D49</f>
        <v>0.108328663976587</v>
      </c>
      <c r="H49" s="300"/>
      <c r="I49" s="327">
        <f t="shared" ref="I49" si="5">I45+I47</f>
        <v>438054.19246027456</v>
      </c>
    </row>
    <row r="50" spans="1:9" x14ac:dyDescent="0.3">
      <c r="G50" s="309"/>
    </row>
    <row r="51" spans="1:9" x14ac:dyDescent="0.3">
      <c r="G51" s="309"/>
    </row>
    <row r="52" spans="1:9" x14ac:dyDescent="0.3">
      <c r="G52" s="309"/>
    </row>
    <row r="53" spans="1:9" x14ac:dyDescent="0.3">
      <c r="G53" s="309"/>
    </row>
    <row r="54" spans="1:9" x14ac:dyDescent="0.3">
      <c r="G54" s="309"/>
    </row>
    <row r="55" spans="1:9" x14ac:dyDescent="0.3">
      <c r="G55" s="309"/>
    </row>
    <row r="56" spans="1:9" x14ac:dyDescent="0.3">
      <c r="G56" s="309"/>
    </row>
    <row r="57" spans="1:9" x14ac:dyDescent="0.3">
      <c r="G57" s="309"/>
    </row>
    <row r="58" spans="1:9" x14ac:dyDescent="0.3">
      <c r="G58" s="309"/>
    </row>
    <row r="59" spans="1:9" x14ac:dyDescent="0.3">
      <c r="G59" s="309"/>
    </row>
    <row r="60" spans="1:9" x14ac:dyDescent="0.3">
      <c r="G60" s="309"/>
    </row>
    <row r="61" spans="1:9" x14ac:dyDescent="0.3">
      <c r="G61" s="309"/>
    </row>
    <row r="62" spans="1:9" x14ac:dyDescent="0.3">
      <c r="G62" s="309"/>
    </row>
    <row r="63" spans="1:9" x14ac:dyDescent="0.3">
      <c r="G63" s="309"/>
    </row>
    <row r="64" spans="1:9" x14ac:dyDescent="0.3">
      <c r="G64" s="309"/>
    </row>
    <row r="65" spans="7:7" x14ac:dyDescent="0.3">
      <c r="G65" s="309"/>
    </row>
    <row r="66" spans="7:7" x14ac:dyDescent="0.3">
      <c r="G66" s="309"/>
    </row>
    <row r="67" spans="7:7" x14ac:dyDescent="0.3">
      <c r="G67" s="309"/>
    </row>
    <row r="68" spans="7:7" x14ac:dyDescent="0.3">
      <c r="G68" s="273"/>
    </row>
  </sheetData>
  <mergeCells count="5">
    <mergeCell ref="A1:J1"/>
    <mergeCell ref="A2:J2"/>
    <mergeCell ref="A3:J3"/>
    <mergeCell ref="A4:J4"/>
    <mergeCell ref="D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D0263-BD86-437D-8B4C-4542CA15C25A}">
  <dimension ref="A1:L339"/>
  <sheetViews>
    <sheetView tabSelected="1" zoomScaleNormal="100" workbookViewId="0">
      <pane xSplit="3" ySplit="20" topLeftCell="D98" activePane="bottomRight" state="frozen"/>
      <selection activeCell="A5" sqref="A5"/>
      <selection pane="topRight" activeCell="D5" sqref="D5"/>
      <selection pane="bottomLeft" activeCell="A21" sqref="A21"/>
      <selection pane="bottomRight" activeCell="I106" sqref="I106"/>
    </sheetView>
  </sheetViews>
  <sheetFormatPr defaultRowHeight="14" x14ac:dyDescent="0.3"/>
  <cols>
    <col min="1" max="1" width="3.09765625" style="59" customWidth="1"/>
    <col min="2" max="2" width="5.8984375" style="59" customWidth="1"/>
    <col min="3" max="3" width="43.19921875" style="59" customWidth="1"/>
    <col min="4" max="6" width="14.09765625" style="59" customWidth="1"/>
    <col min="7" max="7" width="15.09765625" style="59" bestFit="1" customWidth="1"/>
    <col min="8" max="8" width="0.8984375" style="59" customWidth="1"/>
    <col min="9" max="9" width="17.69921875" style="59" bestFit="1" customWidth="1"/>
    <col min="10" max="10" width="39" hidden="1" customWidth="1"/>
    <col min="11" max="11" width="28.796875" bestFit="1" customWidth="1"/>
  </cols>
  <sheetData>
    <row r="1" spans="1:11" ht="23" hidden="1" thickBot="1" x14ac:dyDescent="0.5">
      <c r="A1" s="389" t="s">
        <v>0</v>
      </c>
      <c r="B1" s="389"/>
      <c r="C1" s="389"/>
      <c r="D1" s="389"/>
      <c r="E1" s="389"/>
      <c r="F1" s="389"/>
      <c r="G1" s="389"/>
      <c r="H1" s="389"/>
      <c r="I1" s="389"/>
    </row>
    <row r="2" spans="1:11" ht="18.5" hidden="1" thickBot="1" x14ac:dyDescent="0.45">
      <c r="A2" s="390" t="s">
        <v>302</v>
      </c>
      <c r="B2" s="390"/>
      <c r="C2" s="390"/>
      <c r="D2" s="390"/>
      <c r="E2" s="390"/>
      <c r="F2" s="390"/>
      <c r="G2" s="390"/>
      <c r="H2" s="390"/>
      <c r="I2" s="390"/>
    </row>
    <row r="3" spans="1:11" ht="18.5" hidden="1" thickBot="1" x14ac:dyDescent="0.45">
      <c r="A3" s="390" t="s">
        <v>19</v>
      </c>
      <c r="B3" s="390"/>
      <c r="C3" s="390"/>
      <c r="D3" s="390"/>
      <c r="E3" s="390"/>
      <c r="F3" s="390"/>
      <c r="G3" s="390"/>
      <c r="H3" s="390"/>
      <c r="I3" s="390"/>
    </row>
    <row r="4" spans="1:11" ht="18.5" hidden="1" thickBot="1" x14ac:dyDescent="0.45">
      <c r="A4" s="390" t="s">
        <v>303</v>
      </c>
      <c r="B4" s="390"/>
      <c r="C4" s="390"/>
      <c r="D4" s="390"/>
      <c r="E4" s="390"/>
      <c r="F4" s="390"/>
      <c r="G4" s="390"/>
      <c r="H4" s="390"/>
      <c r="I4" s="390"/>
    </row>
    <row r="5" spans="1:11" ht="14.5" hidden="1" thickBot="1" x14ac:dyDescent="0.35"/>
    <row r="6" spans="1:11" x14ac:dyDescent="0.3">
      <c r="D6" s="391" t="s">
        <v>2</v>
      </c>
      <c r="E6" s="392"/>
      <c r="F6" s="392"/>
      <c r="G6" s="393"/>
      <c r="H6" s="160"/>
      <c r="I6" s="328" t="s">
        <v>19</v>
      </c>
      <c r="J6" t="s">
        <v>326</v>
      </c>
      <c r="K6" s="9" t="s">
        <v>532</v>
      </c>
    </row>
    <row r="7" spans="1:11" x14ac:dyDescent="0.3">
      <c r="D7" s="161" t="s">
        <v>161</v>
      </c>
      <c r="E7" s="337" t="s">
        <v>297</v>
      </c>
      <c r="F7" s="162" t="s">
        <v>293</v>
      </c>
      <c r="G7" s="163" t="s">
        <v>162</v>
      </c>
      <c r="H7" s="160"/>
      <c r="I7" s="312" t="s">
        <v>163</v>
      </c>
    </row>
    <row r="8" spans="1:11" ht="17.149999999999999" customHeight="1" thickBot="1" x14ac:dyDescent="0.35">
      <c r="C8" s="166"/>
      <c r="D8" s="167" t="s">
        <v>109</v>
      </c>
      <c r="E8" s="338">
        <v>45077</v>
      </c>
      <c r="F8" s="168" t="s">
        <v>108</v>
      </c>
      <c r="G8" s="169" t="s">
        <v>109</v>
      </c>
      <c r="H8" s="160"/>
      <c r="I8" s="312" t="s">
        <v>109</v>
      </c>
    </row>
    <row r="9" spans="1:11" x14ac:dyDescent="0.3">
      <c r="A9" s="128"/>
      <c r="B9" s="128"/>
      <c r="C9" s="170" t="s">
        <v>165</v>
      </c>
      <c r="D9" s="171">
        <f>D50</f>
        <v>15887877.6</v>
      </c>
      <c r="E9" s="339">
        <v>14285826.210000001</v>
      </c>
      <c r="F9" s="171">
        <f>F50</f>
        <v>16240284.800000001</v>
      </c>
      <c r="G9" s="173">
        <f>IFERROR(E9/D9,0)</f>
        <v>0.89916517294921772</v>
      </c>
      <c r="H9" s="174"/>
      <c r="I9" s="313">
        <f>I50</f>
        <v>16931716.399999999</v>
      </c>
    </row>
    <row r="10" spans="1:11" ht="4" customHeight="1" x14ac:dyDescent="0.3">
      <c r="A10" s="93"/>
      <c r="B10" s="93"/>
      <c r="C10" s="177"/>
      <c r="D10" s="178"/>
      <c r="E10" s="340"/>
      <c r="F10" s="178"/>
      <c r="G10" s="180"/>
      <c r="H10" s="181"/>
      <c r="I10" s="316"/>
    </row>
    <row r="11" spans="1:11" x14ac:dyDescent="0.3">
      <c r="A11" s="128"/>
      <c r="B11" s="128"/>
      <c r="C11" s="170" t="s">
        <v>166</v>
      </c>
      <c r="D11" s="184">
        <f>D175</f>
        <v>14298735.467563</v>
      </c>
      <c r="E11" s="341">
        <v>13571121.82</v>
      </c>
      <c r="F11" s="184">
        <f>F175</f>
        <v>14979864.321818175</v>
      </c>
      <c r="G11" s="186">
        <f>IFERROR(E11/D11,0)</f>
        <v>0.94911342690312672</v>
      </c>
      <c r="H11" s="174"/>
      <c r="I11" s="329">
        <f>I175</f>
        <v>16033461.576909093</v>
      </c>
    </row>
    <row r="12" spans="1:11" ht="4" customHeight="1" x14ac:dyDescent="0.3">
      <c r="A12" s="93"/>
      <c r="B12" s="93"/>
      <c r="C12" s="177"/>
      <c r="D12" s="178"/>
      <c r="E12" s="340"/>
      <c r="F12" s="178"/>
      <c r="G12" s="180"/>
      <c r="H12" s="181"/>
      <c r="I12" s="316"/>
    </row>
    <row r="13" spans="1:11" x14ac:dyDescent="0.3">
      <c r="A13" s="189"/>
      <c r="B13" s="189"/>
      <c r="C13" s="190" t="s">
        <v>167</v>
      </c>
      <c r="D13" s="191">
        <f>D9-D11</f>
        <v>1589142.1324370001</v>
      </c>
      <c r="E13" s="342">
        <v>714704.3900000006</v>
      </c>
      <c r="F13" s="191">
        <f>F9-F11</f>
        <v>1260420.478181826</v>
      </c>
      <c r="G13" s="193">
        <f>IFERROR(E13/D13,0)</f>
        <v>0.44974227000323669</v>
      </c>
      <c r="H13" s="194"/>
      <c r="I13" s="318">
        <f>I9-I11</f>
        <v>898254.82309090532</v>
      </c>
    </row>
    <row r="14" spans="1:11" ht="4" customHeight="1" x14ac:dyDescent="0.3">
      <c r="A14" s="93"/>
      <c r="B14" s="93"/>
      <c r="C14" s="177"/>
      <c r="D14" s="178"/>
      <c r="E14" s="340"/>
      <c r="F14" s="178"/>
      <c r="G14" s="180"/>
      <c r="H14" s="181"/>
      <c r="I14" s="316"/>
    </row>
    <row r="15" spans="1:11" x14ac:dyDescent="0.3">
      <c r="C15" s="197" t="s">
        <v>168</v>
      </c>
      <c r="D15" s="198">
        <f>D186</f>
        <v>-718128.89793063072</v>
      </c>
      <c r="E15" s="343">
        <v>-620348.68999999994</v>
      </c>
      <c r="F15" s="198">
        <f>F186</f>
        <v>-826868.41200000001</v>
      </c>
      <c r="G15" s="180">
        <f>IFERROR(E15/D15,0)</f>
        <v>0.86384031026686792</v>
      </c>
      <c r="H15" s="160"/>
      <c r="I15" s="314">
        <f>I186</f>
        <v>-460200.63063063077</v>
      </c>
    </row>
    <row r="16" spans="1:11" ht="4" customHeight="1" x14ac:dyDescent="0.3">
      <c r="C16" s="177"/>
      <c r="D16" s="178"/>
      <c r="E16" s="340"/>
      <c r="F16" s="178"/>
      <c r="G16" s="180"/>
      <c r="H16" s="160"/>
      <c r="I16" s="316"/>
    </row>
    <row r="17" spans="1:11" x14ac:dyDescent="0.3">
      <c r="A17" s="201"/>
      <c r="B17" s="201"/>
      <c r="C17" s="190" t="s">
        <v>169</v>
      </c>
      <c r="D17" s="191">
        <f>D13+D15</f>
        <v>871013.23450636934</v>
      </c>
      <c r="E17" s="342">
        <v>94355.700000000652</v>
      </c>
      <c r="F17" s="191">
        <f>F13+F15</f>
        <v>433552.06618182594</v>
      </c>
      <c r="G17" s="193">
        <f>IFERROR(E17/D17,0)</f>
        <v>0.108328663976587</v>
      </c>
      <c r="H17" s="202"/>
      <c r="I17" s="318">
        <f>I13+I15</f>
        <v>438054.19246027456</v>
      </c>
    </row>
    <row r="18" spans="1:11" ht="4" customHeight="1" x14ac:dyDescent="0.3">
      <c r="C18" s="177"/>
      <c r="D18" s="178"/>
      <c r="E18" s="340"/>
      <c r="F18" s="178"/>
      <c r="G18" s="180"/>
      <c r="H18" s="160"/>
      <c r="I18" s="316"/>
    </row>
    <row r="19" spans="1:11" ht="14.5" thickBot="1" x14ac:dyDescent="0.35">
      <c r="A19" s="93"/>
      <c r="B19" s="93"/>
      <c r="C19" s="203" t="s">
        <v>170</v>
      </c>
      <c r="D19" s="204">
        <f>260+321</f>
        <v>581</v>
      </c>
      <c r="E19" s="344">
        <v>587.77499999999998</v>
      </c>
      <c r="F19" s="204">
        <v>588</v>
      </c>
      <c r="G19" s="206">
        <f>IFERROR(E19/D19,0)</f>
        <v>1.0116609294320138</v>
      </c>
      <c r="H19" s="181"/>
      <c r="I19" s="319">
        <f>Enrollment!F17</f>
        <v>594</v>
      </c>
    </row>
    <row r="20" spans="1:11" ht="4" customHeight="1" x14ac:dyDescent="0.3">
      <c r="C20" s="209"/>
      <c r="D20" s="210"/>
      <c r="E20" s="345"/>
      <c r="F20" s="211"/>
      <c r="G20" s="212"/>
      <c r="H20" s="160"/>
      <c r="I20" s="330"/>
    </row>
    <row r="21" spans="1:11" x14ac:dyDescent="0.3">
      <c r="A21" s="215" t="s">
        <v>171</v>
      </c>
      <c r="B21" s="215"/>
      <c r="C21" s="215"/>
      <c r="D21" s="216"/>
      <c r="E21" s="346"/>
      <c r="F21" s="217"/>
      <c r="G21" s="218"/>
      <c r="H21" s="160"/>
      <c r="I21" s="322"/>
    </row>
    <row r="22" spans="1:11" x14ac:dyDescent="0.3">
      <c r="A22" s="9" t="s">
        <v>172</v>
      </c>
      <c r="D22" s="216"/>
      <c r="E22" s="346"/>
      <c r="F22" s="217"/>
      <c r="G22" s="218"/>
      <c r="H22" s="160"/>
      <c r="I22" s="322"/>
    </row>
    <row r="23" spans="1:11" x14ac:dyDescent="0.3">
      <c r="A23" s="221"/>
      <c r="B23" s="59" t="s">
        <v>173</v>
      </c>
      <c r="D23" s="222">
        <v>10505096</v>
      </c>
      <c r="E23" s="347">
        <v>9499367.4800000004</v>
      </c>
      <c r="F23" s="223">
        <v>10360122.15</v>
      </c>
      <c r="G23" s="218">
        <f>IFERROR(E23/D23,0)</f>
        <v>0.90426279588496861</v>
      </c>
      <c r="H23" s="224"/>
      <c r="I23" s="321">
        <f>Revenue!D17</f>
        <v>10893960</v>
      </c>
      <c r="J23" t="s">
        <v>322</v>
      </c>
      <c r="K23" t="s">
        <v>531</v>
      </c>
    </row>
    <row r="24" spans="1:11" x14ac:dyDescent="0.3">
      <c r="A24" s="221"/>
      <c r="B24" s="59" t="s">
        <v>174</v>
      </c>
      <c r="D24" s="216">
        <v>1792329</v>
      </c>
      <c r="E24" s="346">
        <v>1551188.18</v>
      </c>
      <c r="F24" s="223">
        <v>1679080.9</v>
      </c>
      <c r="G24" s="218">
        <f>IFERROR(E24/D24,0)</f>
        <v>0.86545951106074825</v>
      </c>
      <c r="H24" s="224"/>
      <c r="I24" s="322">
        <f>Revenue!F17+Revenue!G17</f>
        <v>1679080.9</v>
      </c>
      <c r="J24" t="s">
        <v>322</v>
      </c>
    </row>
    <row r="25" spans="1:11" x14ac:dyDescent="0.3">
      <c r="A25" s="9"/>
      <c r="B25" s="9"/>
      <c r="C25" s="9"/>
      <c r="D25" s="227">
        <f t="shared" ref="D25" si="0">SUM(D23:D24)</f>
        <v>12297425</v>
      </c>
      <c r="E25" s="348">
        <v>11050555.66</v>
      </c>
      <c r="F25" s="228">
        <f t="shared" ref="F25" si="1">SUM(F23:F24)</f>
        <v>12039203.050000001</v>
      </c>
      <c r="G25" s="229">
        <f>IFERROR(E25/D25,0)</f>
        <v>0.89860728241888044</v>
      </c>
      <c r="H25" s="224"/>
      <c r="I25" s="331">
        <f t="shared" ref="I25" si="2">SUM(I23:I24)</f>
        <v>12573040.9</v>
      </c>
    </row>
    <row r="26" spans="1:11" x14ac:dyDescent="0.3">
      <c r="A26" s="9" t="s">
        <v>175</v>
      </c>
      <c r="D26" s="216"/>
      <c r="E26" s="346"/>
      <c r="F26" s="217"/>
      <c r="G26" s="218"/>
      <c r="H26" s="224"/>
      <c r="I26" s="322"/>
    </row>
    <row r="27" spans="1:11" x14ac:dyDescent="0.3">
      <c r="A27" s="221"/>
      <c r="B27" s="59" t="s">
        <v>176</v>
      </c>
      <c r="D27" s="216"/>
      <c r="E27" s="346">
        <v>0</v>
      </c>
      <c r="F27" s="217"/>
      <c r="G27" s="218">
        <f>IFERROR(E27/D27,0)</f>
        <v>0</v>
      </c>
      <c r="H27" s="224"/>
      <c r="I27" s="322"/>
    </row>
    <row r="28" spans="1:11" x14ac:dyDescent="0.3">
      <c r="A28" s="221"/>
      <c r="B28" s="59" t="s">
        <v>177</v>
      </c>
      <c r="D28" s="216">
        <v>1402269</v>
      </c>
      <c r="E28" s="346">
        <v>1285413.25</v>
      </c>
      <c r="F28" s="217">
        <f>E28+233711.5/2</f>
        <v>1402269</v>
      </c>
      <c r="G28" s="218">
        <f>IFERROR(E28/D28,0)</f>
        <v>0.91666666666666663</v>
      </c>
      <c r="H28" s="224"/>
      <c r="I28" s="322">
        <f>Revenue!D31</f>
        <v>1437326</v>
      </c>
      <c r="J28" t="s">
        <v>322</v>
      </c>
    </row>
    <row r="29" spans="1:11" x14ac:dyDescent="0.3">
      <c r="A29" s="9"/>
      <c r="B29" s="9"/>
      <c r="C29" s="9"/>
      <c r="D29" s="227">
        <f t="shared" ref="D29" si="3">SUM(D27:D28)</f>
        <v>1402269</v>
      </c>
      <c r="E29" s="348">
        <v>1285413.25</v>
      </c>
      <c r="F29" s="228">
        <f t="shared" ref="F29" si="4">SUM(F27:F28)</f>
        <v>1402269</v>
      </c>
      <c r="G29" s="229">
        <f>IFERROR(E29/D29,0)</f>
        <v>0.91666666666666663</v>
      </c>
      <c r="H29" s="224"/>
      <c r="I29" s="331">
        <f t="shared" ref="I29" si="5">SUM(I27:I28)</f>
        <v>1437326</v>
      </c>
    </row>
    <row r="30" spans="1:11" x14ac:dyDescent="0.3">
      <c r="A30" s="9" t="s">
        <v>178</v>
      </c>
      <c r="D30" s="216"/>
      <c r="E30" s="346"/>
      <c r="F30" s="217"/>
      <c r="G30" s="218"/>
      <c r="H30" s="224"/>
      <c r="I30" s="322"/>
    </row>
    <row r="31" spans="1:11" x14ac:dyDescent="0.3">
      <c r="A31" s="221"/>
      <c r="B31" s="59" t="s">
        <v>49</v>
      </c>
      <c r="D31" s="216">
        <v>118819</v>
      </c>
      <c r="E31" s="346">
        <v>132076</v>
      </c>
      <c r="F31" s="217">
        <v>132076</v>
      </c>
      <c r="G31" s="218">
        <f t="shared" ref="G31:G36" si="6">IFERROR(E31/D31,0)</f>
        <v>1.1115730649138607</v>
      </c>
      <c r="H31" s="224"/>
      <c r="I31" s="322">
        <f>Revenue!F37</f>
        <v>118819</v>
      </c>
    </row>
    <row r="32" spans="1:11" x14ac:dyDescent="0.3">
      <c r="A32" s="221"/>
      <c r="B32" s="59" t="s">
        <v>50</v>
      </c>
      <c r="D32" s="216">
        <v>389313</v>
      </c>
      <c r="E32" s="346">
        <v>256740.76</v>
      </c>
      <c r="F32" s="217">
        <v>389460</v>
      </c>
      <c r="G32" s="218">
        <f t="shared" si="6"/>
        <v>0.65947132512913775</v>
      </c>
      <c r="H32" s="224"/>
      <c r="I32" s="322">
        <f>Revenue!F38</f>
        <v>389313</v>
      </c>
      <c r="J32" t="s">
        <v>324</v>
      </c>
    </row>
    <row r="33" spans="1:11" x14ac:dyDescent="0.3">
      <c r="A33" s="221"/>
      <c r="B33" s="59" t="s">
        <v>51</v>
      </c>
      <c r="D33" s="216">
        <v>51325</v>
      </c>
      <c r="E33" s="346">
        <v>32892.15</v>
      </c>
      <c r="F33" s="217">
        <v>44655</v>
      </c>
      <c r="G33" s="218">
        <f t="shared" si="6"/>
        <v>0.64086020457866544</v>
      </c>
      <c r="H33" s="224"/>
      <c r="I33" s="322">
        <f>Revenue!F39</f>
        <v>51325</v>
      </c>
      <c r="J33" t="s">
        <v>324</v>
      </c>
    </row>
    <row r="34" spans="1:11" x14ac:dyDescent="0.3">
      <c r="A34" s="221"/>
      <c r="B34" s="59" t="s">
        <v>52</v>
      </c>
      <c r="D34" s="216">
        <v>24701</v>
      </c>
      <c r="E34" s="346">
        <v>18065</v>
      </c>
      <c r="F34" s="217">
        <v>25322</v>
      </c>
      <c r="G34" s="218">
        <f t="shared" si="6"/>
        <v>0.73134690903202304</v>
      </c>
      <c r="H34" s="224"/>
      <c r="I34" s="322">
        <f>Revenue!F40</f>
        <v>24701</v>
      </c>
      <c r="J34" t="s">
        <v>324</v>
      </c>
    </row>
    <row r="35" spans="1:11" x14ac:dyDescent="0.3">
      <c r="A35" s="221"/>
      <c r="B35" s="59" t="s">
        <v>179</v>
      </c>
      <c r="D35" s="216">
        <v>1574025.6</v>
      </c>
      <c r="E35" s="346">
        <v>981110</v>
      </c>
      <c r="F35" s="355">
        <f>Revenue!E48</f>
        <v>1574025.6</v>
      </c>
      <c r="G35" s="218">
        <f t="shared" si="6"/>
        <v>0.62331260685976131</v>
      </c>
      <c r="H35" s="224"/>
      <c r="I35" s="322">
        <f>Revenue!F48</f>
        <v>1832191.5</v>
      </c>
      <c r="J35" t="s">
        <v>324</v>
      </c>
    </row>
    <row r="36" spans="1:11" x14ac:dyDescent="0.3">
      <c r="A36" s="9"/>
      <c r="B36" s="9"/>
      <c r="C36" s="9"/>
      <c r="D36" s="227">
        <f>SUM(D31:D35)</f>
        <v>2158183.6</v>
      </c>
      <c r="E36" s="348">
        <v>1420883.9100000001</v>
      </c>
      <c r="F36" s="228">
        <f>SUM(F31:F35)</f>
        <v>2165538.6</v>
      </c>
      <c r="G36" s="229">
        <f t="shared" si="6"/>
        <v>0.65837026562522305</v>
      </c>
      <c r="H36" s="224"/>
      <c r="I36" s="331">
        <f>SUM(I31:I35)</f>
        <v>2416349.5</v>
      </c>
    </row>
    <row r="37" spans="1:11" x14ac:dyDescent="0.3">
      <c r="A37" s="9" t="s">
        <v>180</v>
      </c>
      <c r="D37" s="216"/>
      <c r="E37" s="346"/>
      <c r="F37" s="217"/>
      <c r="G37" s="218"/>
      <c r="H37" s="224"/>
      <c r="I37" s="322"/>
    </row>
    <row r="38" spans="1:11" x14ac:dyDescent="0.3">
      <c r="A38" s="221"/>
      <c r="B38" s="59" t="s">
        <v>181</v>
      </c>
      <c r="D38" s="216">
        <v>10000</v>
      </c>
      <c r="E38" s="346">
        <v>20658.52</v>
      </c>
      <c r="F38" s="217">
        <v>22500</v>
      </c>
      <c r="G38" s="218">
        <f>IFERROR(E38/D38,0)</f>
        <v>2.065852</v>
      </c>
      <c r="H38" s="224"/>
      <c r="I38" s="322">
        <v>5000</v>
      </c>
      <c r="K38" t="s">
        <v>533</v>
      </c>
    </row>
    <row r="39" spans="1:11" x14ac:dyDescent="0.3">
      <c r="A39" s="221"/>
      <c r="B39" s="59" t="s">
        <v>182</v>
      </c>
      <c r="D39" s="216"/>
      <c r="E39" s="346">
        <v>141412.03</v>
      </c>
      <c r="F39" s="217">
        <v>150000</v>
      </c>
      <c r="G39" s="218">
        <f>IFERROR(E39/D39,0)</f>
        <v>0</v>
      </c>
      <c r="H39" s="224"/>
      <c r="I39" s="322">
        <v>50000</v>
      </c>
      <c r="K39" t="s">
        <v>533</v>
      </c>
    </row>
    <row r="40" spans="1:11" x14ac:dyDescent="0.3">
      <c r="A40" s="221"/>
      <c r="B40" s="59" t="s">
        <v>183</v>
      </c>
      <c r="D40" s="216"/>
      <c r="E40" s="346">
        <v>206324.66</v>
      </c>
      <c r="F40" s="217">
        <v>210000</v>
      </c>
      <c r="G40" s="218">
        <f>IFERROR(E40/D40,0)</f>
        <v>0</v>
      </c>
      <c r="H40" s="224"/>
      <c r="I40" s="322">
        <v>50000</v>
      </c>
      <c r="K40" t="s">
        <v>533</v>
      </c>
    </row>
    <row r="41" spans="1:11" x14ac:dyDescent="0.3">
      <c r="A41" s="221"/>
      <c r="B41" s="59" t="s">
        <v>184</v>
      </c>
      <c r="D41" s="216"/>
      <c r="E41" s="346"/>
      <c r="F41" s="217"/>
      <c r="G41" s="218">
        <f>IFERROR(E41/D41,0)</f>
        <v>0</v>
      </c>
      <c r="H41" s="224"/>
      <c r="I41" s="322"/>
    </row>
    <row r="42" spans="1:11" x14ac:dyDescent="0.3">
      <c r="A42" s="6"/>
      <c r="B42" s="9"/>
      <c r="C42" s="9"/>
      <c r="D42" s="227">
        <f t="shared" ref="D42" si="7">SUM(D38:D41)</f>
        <v>10000</v>
      </c>
      <c r="E42" s="348">
        <v>368395.20999999996</v>
      </c>
      <c r="F42" s="228">
        <f t="shared" ref="F42" si="8">SUM(F38:F41)</f>
        <v>382500</v>
      </c>
      <c r="G42" s="229">
        <f>IFERROR(E42/D42,0)</f>
        <v>36.839520999999998</v>
      </c>
      <c r="H42" s="224"/>
      <c r="I42" s="331">
        <f t="shared" ref="I42" si="9">SUM(I38:I41)</f>
        <v>105000</v>
      </c>
    </row>
    <row r="43" spans="1:11" x14ac:dyDescent="0.3">
      <c r="A43" s="9" t="s">
        <v>185</v>
      </c>
      <c r="D43" s="216"/>
      <c r="E43" s="346"/>
      <c r="F43" s="217"/>
      <c r="G43" s="218"/>
      <c r="H43" s="224"/>
      <c r="I43" s="322"/>
    </row>
    <row r="44" spans="1:11" x14ac:dyDescent="0.3">
      <c r="A44" s="221"/>
      <c r="B44" s="59" t="s">
        <v>60</v>
      </c>
      <c r="D44" s="216">
        <v>10000</v>
      </c>
      <c r="E44" s="346">
        <v>55119</v>
      </c>
      <c r="F44" s="217">
        <v>50774.15</v>
      </c>
      <c r="G44" s="218">
        <f>IFERROR(E44/D44,0)</f>
        <v>5.5118999999999998</v>
      </c>
      <c r="H44" s="224"/>
      <c r="I44" s="322">
        <v>50000</v>
      </c>
    </row>
    <row r="45" spans="1:11" ht="13.5" customHeight="1" x14ac:dyDescent="0.3">
      <c r="A45" s="221"/>
      <c r="B45" s="59" t="s">
        <v>186</v>
      </c>
      <c r="D45" s="216">
        <v>10000</v>
      </c>
      <c r="E45" s="346">
        <f>105459.18+77000</f>
        <v>182459.18</v>
      </c>
      <c r="F45" s="217">
        <v>200000</v>
      </c>
      <c r="G45" s="218">
        <f>IFERROR(E45/D45,0)</f>
        <v>18.245918</v>
      </c>
      <c r="H45" s="224"/>
      <c r="I45" s="322">
        <v>350000</v>
      </c>
    </row>
    <row r="46" spans="1:11" x14ac:dyDescent="0.3">
      <c r="A46" s="221"/>
      <c r="B46" s="59" t="s">
        <v>187</v>
      </c>
      <c r="D46" s="216"/>
      <c r="E46" s="346"/>
      <c r="F46" s="217"/>
      <c r="G46" s="218">
        <f>IFERROR(E46/D46,0)</f>
        <v>0</v>
      </c>
      <c r="H46" s="224"/>
      <c r="I46" s="322"/>
    </row>
    <row r="47" spans="1:11" x14ac:dyDescent="0.3">
      <c r="A47" s="221"/>
      <c r="B47" s="59" t="s">
        <v>188</v>
      </c>
      <c r="D47" s="216"/>
      <c r="E47" s="346"/>
      <c r="F47" s="217"/>
      <c r="G47" s="218">
        <f>IFERROR(E47/D47,0)</f>
        <v>0</v>
      </c>
      <c r="H47" s="224"/>
      <c r="I47" s="322"/>
    </row>
    <row r="48" spans="1:11" x14ac:dyDescent="0.3">
      <c r="A48" s="9"/>
      <c r="B48" s="9"/>
      <c r="C48" s="9"/>
      <c r="D48" s="227">
        <f t="shared" ref="D48" si="10">SUM(D44:D47)</f>
        <v>20000</v>
      </c>
      <c r="E48" s="348">
        <v>160578.18</v>
      </c>
      <c r="F48" s="228">
        <f>SUM(F44:F47)</f>
        <v>250774.15</v>
      </c>
      <c r="G48" s="229">
        <f>IFERROR(E48/D48,0)</f>
        <v>8.0289090000000005</v>
      </c>
      <c r="H48" s="224"/>
      <c r="I48" s="331">
        <f t="shared" ref="I48" si="11">SUM(I44:I47)</f>
        <v>400000</v>
      </c>
    </row>
    <row r="49" spans="1:12" x14ac:dyDescent="0.3">
      <c r="D49" s="232"/>
      <c r="E49" s="349"/>
      <c r="F49" s="233"/>
      <c r="G49" s="234"/>
      <c r="H49" s="224"/>
      <c r="I49" s="323"/>
    </row>
    <row r="50" spans="1:12" x14ac:dyDescent="0.3">
      <c r="A50" s="9"/>
      <c r="B50" s="9"/>
      <c r="C50" s="9" t="s">
        <v>189</v>
      </c>
      <c r="D50" s="237">
        <f>D25+D29+D36+D42+D48</f>
        <v>15887877.6</v>
      </c>
      <c r="E50" s="350">
        <v>14285826.210000001</v>
      </c>
      <c r="F50" s="238">
        <f>F25+F29+F36+F42+F48</f>
        <v>16240284.800000001</v>
      </c>
      <c r="G50" s="239">
        <f>IFERROR(E50/D50,0)</f>
        <v>0.89916517294921772</v>
      </c>
      <c r="H50" s="224"/>
      <c r="I50" s="324">
        <f>I25+I29+I36+I42+I48</f>
        <v>16931716.399999999</v>
      </c>
    </row>
    <row r="51" spans="1:12" x14ac:dyDescent="0.3">
      <c r="A51" s="215" t="s">
        <v>190</v>
      </c>
      <c r="B51" s="215"/>
      <c r="C51" s="215"/>
      <c r="D51" s="216"/>
      <c r="E51" s="346"/>
      <c r="F51" s="217"/>
      <c r="G51" s="218"/>
      <c r="H51" s="224"/>
      <c r="I51" s="322"/>
    </row>
    <row r="52" spans="1:12" x14ac:dyDescent="0.3">
      <c r="A52" s="9" t="s">
        <v>191</v>
      </c>
      <c r="D52" s="216"/>
      <c r="E52" s="346"/>
      <c r="F52" s="217"/>
      <c r="G52" s="218"/>
      <c r="H52" s="224"/>
      <c r="I52" s="322"/>
    </row>
    <row r="53" spans="1:12" x14ac:dyDescent="0.3">
      <c r="A53" s="221"/>
      <c r="B53" s="9" t="s">
        <v>192</v>
      </c>
      <c r="D53" s="216"/>
      <c r="E53" s="346"/>
      <c r="F53" s="217"/>
      <c r="G53" s="218"/>
      <c r="H53" s="224"/>
      <c r="I53" s="322"/>
    </row>
    <row r="54" spans="1:12" x14ac:dyDescent="0.3">
      <c r="A54" s="221"/>
      <c r="B54" s="221"/>
      <c r="C54" s="59" t="s">
        <v>193</v>
      </c>
      <c r="D54" s="216">
        <v>409200</v>
      </c>
      <c r="E54" s="346">
        <v>375099.93</v>
      </c>
      <c r="F54" s="217">
        <v>409199.91999999987</v>
      </c>
      <c r="G54" s="218">
        <f t="shared" ref="G54:G60" si="12">IFERROR(E54/D54,0)</f>
        <v>0.91666649560117297</v>
      </c>
      <c r="H54" s="224"/>
      <c r="I54" s="322">
        <f>Salaries!F110</f>
        <v>429660</v>
      </c>
    </row>
    <row r="55" spans="1:12" ht="14.5" x14ac:dyDescent="0.35">
      <c r="A55" s="221"/>
      <c r="B55" s="221"/>
      <c r="C55" s="59" t="s">
        <v>194</v>
      </c>
      <c r="D55" s="216">
        <v>436636</v>
      </c>
      <c r="E55" s="346">
        <v>420249.07</v>
      </c>
      <c r="F55" s="217">
        <v>567448.62000000011</v>
      </c>
      <c r="G55" s="218">
        <f t="shared" si="12"/>
        <v>0.96247004369772537</v>
      </c>
      <c r="H55" s="224"/>
      <c r="I55" s="322">
        <f>Salaries!F111</f>
        <v>601792.80000000005</v>
      </c>
      <c r="K55" s="388"/>
      <c r="L55" s="387"/>
    </row>
    <row r="56" spans="1:12" ht="14.5" x14ac:dyDescent="0.35">
      <c r="A56" s="221"/>
      <c r="B56" s="221"/>
      <c r="C56" s="59" t="s">
        <v>195</v>
      </c>
      <c r="D56" s="216">
        <v>323497</v>
      </c>
      <c r="E56" s="346">
        <v>515374.64</v>
      </c>
      <c r="F56" s="217">
        <v>538682.71999999986</v>
      </c>
      <c r="G56" s="218">
        <f t="shared" si="12"/>
        <v>1.5931357632373717</v>
      </c>
      <c r="H56" s="224"/>
      <c r="I56" s="322">
        <f>Salaries!F112</f>
        <v>688203.85000000009</v>
      </c>
      <c r="K56" s="388"/>
      <c r="L56" s="387"/>
    </row>
    <row r="57" spans="1:12" ht="14.5" x14ac:dyDescent="0.35">
      <c r="A57" s="221"/>
      <c r="B57" s="221"/>
      <c r="C57" s="59" t="s">
        <v>196</v>
      </c>
      <c r="D57" s="216">
        <v>92820</v>
      </c>
      <c r="E57" s="346">
        <v>23205.03</v>
      </c>
      <c r="F57" s="217">
        <v>23205.030000000002</v>
      </c>
      <c r="G57" s="218">
        <f t="shared" si="12"/>
        <v>0.25000032320620552</v>
      </c>
      <c r="H57" s="224"/>
      <c r="I57" s="322">
        <f>Salaries!F113</f>
        <v>138050</v>
      </c>
      <c r="K57" s="388"/>
      <c r="L57" s="387"/>
    </row>
    <row r="58" spans="1:12" ht="14.5" x14ac:dyDescent="0.35">
      <c r="A58" s="221"/>
      <c r="B58" s="221"/>
      <c r="C58" s="59" t="s">
        <v>197</v>
      </c>
      <c r="D58" s="216"/>
      <c r="E58" s="346">
        <v>0</v>
      </c>
      <c r="F58" s="217">
        <v>0</v>
      </c>
      <c r="G58" s="218">
        <f t="shared" si="12"/>
        <v>0</v>
      </c>
      <c r="H58" s="224"/>
      <c r="I58" s="322">
        <v>0</v>
      </c>
      <c r="K58" s="388"/>
      <c r="L58" s="387"/>
    </row>
    <row r="59" spans="1:12" ht="14.5" x14ac:dyDescent="0.35">
      <c r="A59" s="221"/>
      <c r="B59" s="221"/>
      <c r="C59" s="59" t="s">
        <v>198</v>
      </c>
      <c r="D59" s="216">
        <v>323745</v>
      </c>
      <c r="E59" s="346">
        <v>291316.77</v>
      </c>
      <c r="F59" s="217">
        <v>365909.46000000008</v>
      </c>
      <c r="G59" s="218">
        <f t="shared" si="12"/>
        <v>0.89983403604688883</v>
      </c>
      <c r="H59" s="224"/>
      <c r="I59" s="322">
        <f>Salaries!F114</f>
        <v>358799</v>
      </c>
      <c r="K59" s="388"/>
      <c r="L59" s="387"/>
    </row>
    <row r="60" spans="1:12" ht="14.5" x14ac:dyDescent="0.35">
      <c r="A60" s="6"/>
      <c r="B60" s="9"/>
      <c r="C60" s="9"/>
      <c r="D60" s="227">
        <f>SUM(D54:D59)</f>
        <v>1585898</v>
      </c>
      <c r="E60" s="348">
        <v>1625245.4400000002</v>
      </c>
      <c r="F60" s="228">
        <f>SUM(F54:F59)</f>
        <v>1904445.75</v>
      </c>
      <c r="G60" s="229">
        <f t="shared" si="12"/>
        <v>1.0248108264213716</v>
      </c>
      <c r="H60" s="224"/>
      <c r="I60" s="331">
        <f>SUM(I54:I59)</f>
        <v>2216505.6500000004</v>
      </c>
      <c r="K60" s="388"/>
      <c r="L60" s="387"/>
    </row>
    <row r="61" spans="1:12" ht="14.5" x14ac:dyDescent="0.35">
      <c r="A61" s="221"/>
      <c r="B61" s="9" t="s">
        <v>199</v>
      </c>
      <c r="D61" s="216"/>
      <c r="E61" s="346"/>
      <c r="F61" s="217"/>
      <c r="G61" s="218"/>
      <c r="H61" s="224"/>
      <c r="I61" s="322"/>
      <c r="K61" s="388"/>
      <c r="L61" s="387"/>
    </row>
    <row r="62" spans="1:12" ht="14.5" x14ac:dyDescent="0.35">
      <c r="A62" s="221"/>
      <c r="B62" s="221"/>
      <c r="C62" s="59" t="s">
        <v>200</v>
      </c>
      <c r="D62" s="216">
        <v>3142318.1578000002</v>
      </c>
      <c r="E62" s="346">
        <v>3298334.83</v>
      </c>
      <c r="F62" s="217">
        <v>3382872.8899999899</v>
      </c>
      <c r="G62" s="218">
        <f>IFERROR(E62/D62,0)</f>
        <v>1.049650183197627</v>
      </c>
      <c r="H62" s="224"/>
      <c r="I62" s="322">
        <f>Salaries!F115</f>
        <v>3767213</v>
      </c>
      <c r="K62" s="388"/>
      <c r="L62" s="387"/>
    </row>
    <row r="63" spans="1:12" ht="14.5" x14ac:dyDescent="0.35">
      <c r="A63" s="221"/>
      <c r="B63" s="221"/>
      <c r="C63" s="59" t="s">
        <v>201</v>
      </c>
      <c r="D63" s="216">
        <v>1076030</v>
      </c>
      <c r="E63" s="346">
        <v>693339.28</v>
      </c>
      <c r="F63" s="217">
        <v>634867.77999999991</v>
      </c>
      <c r="G63" s="218">
        <f>IFERROR(E63/D63,0)</f>
        <v>0.64434939546295178</v>
      </c>
      <c r="H63" s="224"/>
      <c r="I63" s="322">
        <f>Salaries!F116</f>
        <v>683847</v>
      </c>
      <c r="K63" s="388"/>
      <c r="L63" s="387"/>
    </row>
    <row r="64" spans="1:12" ht="14.5" x14ac:dyDescent="0.35">
      <c r="A64" s="221"/>
      <c r="B64" s="221"/>
      <c r="C64" s="59" t="s">
        <v>202</v>
      </c>
      <c r="D64" s="216"/>
      <c r="E64" s="346">
        <v>31810</v>
      </c>
      <c r="F64" s="217">
        <v>32735</v>
      </c>
      <c r="G64" s="218"/>
      <c r="H64" s="224"/>
      <c r="I64" s="322">
        <v>0</v>
      </c>
      <c r="K64" s="388"/>
      <c r="L64" s="387"/>
    </row>
    <row r="65" spans="1:12" ht="14.5" x14ac:dyDescent="0.35">
      <c r="A65" s="221"/>
      <c r="B65" s="221"/>
      <c r="C65" s="59" t="s">
        <v>203</v>
      </c>
      <c r="D65" s="216">
        <v>100326.45000000001</v>
      </c>
      <c r="E65" s="346">
        <v>142945.72</v>
      </c>
      <c r="F65" s="217">
        <v>155087.91000000006</v>
      </c>
      <c r="G65" s="218">
        <f t="shared" ref="G65:G73" si="13">IFERROR(E65/D65,0)</f>
        <v>1.4248059210706647</v>
      </c>
      <c r="H65" s="224"/>
      <c r="I65" s="322">
        <f>Salaries!F117</f>
        <v>158499</v>
      </c>
      <c r="K65" s="388"/>
      <c r="L65" s="387"/>
    </row>
    <row r="66" spans="1:12" ht="14.5" x14ac:dyDescent="0.35">
      <c r="A66" s="221"/>
      <c r="B66" s="221"/>
      <c r="C66" s="59" t="s">
        <v>204</v>
      </c>
      <c r="D66" s="216">
        <v>168897</v>
      </c>
      <c r="E66" s="346">
        <v>249224.83</v>
      </c>
      <c r="F66" s="217">
        <v>265811.76000000024</v>
      </c>
      <c r="G66" s="218">
        <f t="shared" si="13"/>
        <v>1.4756024677762185</v>
      </c>
      <c r="H66" s="224"/>
      <c r="I66" s="322">
        <f>Salaries!F120</f>
        <v>174899.9</v>
      </c>
      <c r="K66" s="388"/>
      <c r="L66" s="387"/>
    </row>
    <row r="67" spans="1:12" ht="14.5" x14ac:dyDescent="0.35">
      <c r="A67" s="221"/>
      <c r="B67" s="221"/>
      <c r="C67" s="59" t="s">
        <v>205</v>
      </c>
      <c r="D67" s="216"/>
      <c r="E67" s="346">
        <v>0</v>
      </c>
      <c r="F67" s="217"/>
      <c r="G67" s="218">
        <f t="shared" si="13"/>
        <v>0</v>
      </c>
      <c r="H67" s="224"/>
      <c r="I67" s="322"/>
      <c r="K67" s="388"/>
      <c r="L67" s="387"/>
    </row>
    <row r="68" spans="1:12" ht="14.5" x14ac:dyDescent="0.35">
      <c r="A68" s="221"/>
      <c r="B68" s="221"/>
      <c r="C68" s="59" t="s">
        <v>206</v>
      </c>
      <c r="D68" s="216">
        <v>70996</v>
      </c>
      <c r="E68" s="346">
        <v>55607.81</v>
      </c>
      <c r="F68" s="217">
        <v>112495.60000000002</v>
      </c>
      <c r="G68" s="218">
        <f t="shared" si="13"/>
        <v>0.78325271846301192</v>
      </c>
      <c r="H68" s="224"/>
      <c r="I68" s="322">
        <v>0</v>
      </c>
      <c r="K68" s="388"/>
      <c r="L68" s="387"/>
    </row>
    <row r="69" spans="1:12" ht="14.5" x14ac:dyDescent="0.35">
      <c r="A69" s="221"/>
      <c r="B69" s="221"/>
      <c r="C69" s="59" t="s">
        <v>207</v>
      </c>
      <c r="D69" s="216">
        <v>102440</v>
      </c>
      <c r="E69" s="346">
        <v>155842.68</v>
      </c>
      <c r="F69" s="217">
        <v>244498.96000000005</v>
      </c>
      <c r="G69" s="218">
        <f t="shared" si="13"/>
        <v>1.5213069113627489</v>
      </c>
      <c r="H69" s="224"/>
      <c r="I69" s="322">
        <f>Salaries!F118</f>
        <v>187562</v>
      </c>
      <c r="K69" s="388"/>
      <c r="L69" s="387"/>
    </row>
    <row r="70" spans="1:12" ht="14.5" x14ac:dyDescent="0.35">
      <c r="A70" s="221"/>
      <c r="B70" s="221"/>
      <c r="C70" s="59" t="s">
        <v>208</v>
      </c>
      <c r="D70" s="216">
        <v>582416</v>
      </c>
      <c r="E70" s="346">
        <v>612272.47</v>
      </c>
      <c r="F70" s="217">
        <v>683239.64999999967</v>
      </c>
      <c r="G70" s="218">
        <f t="shared" si="13"/>
        <v>1.0512631349413477</v>
      </c>
      <c r="H70" s="224"/>
      <c r="I70" s="322">
        <f>Salaries!F119</f>
        <v>715146</v>
      </c>
      <c r="K70" s="388"/>
      <c r="L70" s="387"/>
    </row>
    <row r="71" spans="1:12" ht="14.5" x14ac:dyDescent="0.35">
      <c r="A71" s="221"/>
      <c r="B71" s="221"/>
      <c r="C71" s="59" t="s">
        <v>209</v>
      </c>
      <c r="D71" s="216">
        <v>793379.66250000009</v>
      </c>
      <c r="E71" s="346">
        <v>629327.07999999996</v>
      </c>
      <c r="F71" s="217">
        <v>763916.80999999982</v>
      </c>
      <c r="G71" s="218">
        <f t="shared" si="13"/>
        <v>0.79322310584183886</v>
      </c>
      <c r="H71" s="224"/>
      <c r="I71" s="322">
        <f>Salaries!F121</f>
        <v>830625.29999999993</v>
      </c>
      <c r="K71" s="388"/>
      <c r="L71" s="387"/>
    </row>
    <row r="72" spans="1:12" ht="14.5" x14ac:dyDescent="0.35">
      <c r="A72" s="221"/>
      <c r="B72" s="221"/>
      <c r="C72" s="59" t="s">
        <v>210</v>
      </c>
      <c r="D72" s="216">
        <v>1500</v>
      </c>
      <c r="E72" s="346">
        <v>6661.5</v>
      </c>
      <c r="F72" s="217">
        <v>6661.5</v>
      </c>
      <c r="G72" s="218">
        <f t="shared" si="13"/>
        <v>4.4409999999999998</v>
      </c>
      <c r="H72" s="224"/>
      <c r="I72" s="322">
        <v>0</v>
      </c>
      <c r="K72" s="388"/>
      <c r="L72" s="387"/>
    </row>
    <row r="73" spans="1:12" x14ac:dyDescent="0.3">
      <c r="A73" s="6"/>
      <c r="B73" s="9"/>
      <c r="C73" s="9"/>
      <c r="D73" s="227">
        <f>SUM(D62:D72)</f>
        <v>6038303.2703000009</v>
      </c>
      <c r="E73" s="348">
        <v>5875366.1999999993</v>
      </c>
      <c r="F73" s="228">
        <f>SUM(F62:F72)</f>
        <v>6282187.8599999892</v>
      </c>
      <c r="G73" s="229">
        <f t="shared" si="13"/>
        <v>0.97301608365690673</v>
      </c>
      <c r="H73" s="224"/>
      <c r="I73" s="331">
        <f>SUM(I62:I72)</f>
        <v>6517792.2000000002</v>
      </c>
    </row>
    <row r="74" spans="1:12" x14ac:dyDescent="0.3">
      <c r="A74" s="221"/>
      <c r="B74" s="9" t="s">
        <v>211</v>
      </c>
      <c r="D74" s="216"/>
      <c r="E74" s="346"/>
      <c r="F74" s="217"/>
      <c r="G74" s="218"/>
      <c r="H74" s="224"/>
      <c r="I74" s="322"/>
    </row>
    <row r="75" spans="1:12" x14ac:dyDescent="0.3">
      <c r="A75" s="221"/>
      <c r="B75" s="9"/>
      <c r="C75" s="59" t="s">
        <v>212</v>
      </c>
      <c r="D75" s="216">
        <v>135002</v>
      </c>
      <c r="E75" s="346">
        <v>160315.07</v>
      </c>
      <c r="F75" s="217">
        <v>179007.73000000007</v>
      </c>
      <c r="G75" s="218">
        <f>IFERROR(E75/D75,0)</f>
        <v>1.1875014444230456</v>
      </c>
      <c r="H75" s="224"/>
      <c r="I75" s="322">
        <f>Salaries!F122</f>
        <v>141752.1</v>
      </c>
    </row>
    <row r="76" spans="1:12" x14ac:dyDescent="0.3">
      <c r="A76" s="221"/>
      <c r="B76" s="221"/>
      <c r="C76" s="59" t="s">
        <v>213</v>
      </c>
      <c r="D76" s="216">
        <v>120499</v>
      </c>
      <c r="E76" s="346">
        <v>106405.86</v>
      </c>
      <c r="F76" s="217">
        <v>116367.24000000008</v>
      </c>
      <c r="G76" s="218">
        <f>IFERROR(E76/D76,0)</f>
        <v>0.88304351073452891</v>
      </c>
      <c r="H76" s="224"/>
      <c r="I76" s="322">
        <f>Salaries!F123</f>
        <v>106573.95</v>
      </c>
    </row>
    <row r="77" spans="1:12" x14ac:dyDescent="0.3">
      <c r="A77" s="221"/>
      <c r="B77" s="221"/>
      <c r="C77" s="59" t="s">
        <v>214</v>
      </c>
      <c r="D77" s="216">
        <v>187320</v>
      </c>
      <c r="E77" s="346">
        <v>129767.67999999999</v>
      </c>
      <c r="F77" s="217">
        <v>156485.27000000008</v>
      </c>
      <c r="G77" s="218">
        <f>IFERROR(E77/D77,0)</f>
        <v>0.69275934230194314</v>
      </c>
      <c r="H77" s="224"/>
      <c r="I77" s="322">
        <f>Salaries!F124</f>
        <v>235696</v>
      </c>
    </row>
    <row r="78" spans="1:12" x14ac:dyDescent="0.3">
      <c r="A78" s="6"/>
      <c r="B78" s="9"/>
      <c r="C78" s="9"/>
      <c r="D78" s="227">
        <f>SUM(D75:D77)</f>
        <v>442821</v>
      </c>
      <c r="E78" s="348">
        <v>396488.61</v>
      </c>
      <c r="F78" s="228">
        <f>SUM(F75:F77)</f>
        <v>451860.24000000022</v>
      </c>
      <c r="G78" s="229">
        <f>IFERROR(E78/D78,0)</f>
        <v>0.89536993503018147</v>
      </c>
      <c r="H78" s="224"/>
      <c r="I78" s="331">
        <f>SUM(I75:I77)</f>
        <v>484022.05</v>
      </c>
    </row>
    <row r="79" spans="1:12" x14ac:dyDescent="0.3">
      <c r="A79" s="6"/>
      <c r="B79" s="9" t="s">
        <v>215</v>
      </c>
      <c r="D79" s="237"/>
      <c r="E79" s="350"/>
      <c r="F79" s="238"/>
      <c r="G79" s="239"/>
      <c r="H79" s="224"/>
      <c r="I79" s="324"/>
    </row>
    <row r="80" spans="1:12" x14ac:dyDescent="0.3">
      <c r="A80" s="6"/>
      <c r="C80" s="59" t="s">
        <v>216</v>
      </c>
      <c r="D80" s="216"/>
      <c r="E80" s="346">
        <v>51993.63</v>
      </c>
      <c r="F80" s="217">
        <v>50094</v>
      </c>
      <c r="G80" s="218">
        <f t="shared" ref="G80:G88" si="14">IFERROR(E80/D80,0)</f>
        <v>0</v>
      </c>
      <c r="H80" s="224"/>
      <c r="I80" s="322"/>
    </row>
    <row r="81" spans="1:11" x14ac:dyDescent="0.3">
      <c r="A81" s="6"/>
      <c r="C81" s="59" t="s">
        <v>217</v>
      </c>
      <c r="D81" s="216"/>
      <c r="E81" s="346">
        <v>5255.4</v>
      </c>
      <c r="F81" s="217">
        <v>5255.4</v>
      </c>
      <c r="G81" s="218">
        <f t="shared" si="14"/>
        <v>0</v>
      </c>
      <c r="H81" s="224"/>
      <c r="I81" s="322"/>
    </row>
    <row r="82" spans="1:11" x14ac:dyDescent="0.3">
      <c r="A82" s="6"/>
      <c r="C82" s="59" t="s">
        <v>218</v>
      </c>
      <c r="D82" s="216"/>
      <c r="E82" s="346">
        <v>4216.8</v>
      </c>
      <c r="F82" s="217">
        <v>4216.8</v>
      </c>
      <c r="G82" s="218">
        <f t="shared" si="14"/>
        <v>0</v>
      </c>
      <c r="H82" s="224"/>
      <c r="I82" s="322"/>
    </row>
    <row r="83" spans="1:11" x14ac:dyDescent="0.3">
      <c r="A83" s="6"/>
      <c r="C83" s="59" t="s">
        <v>219</v>
      </c>
      <c r="D83" s="216"/>
      <c r="E83" s="346">
        <v>0</v>
      </c>
      <c r="F83" s="217"/>
      <c r="G83" s="218">
        <f t="shared" si="14"/>
        <v>0</v>
      </c>
      <c r="H83" s="224"/>
      <c r="I83" s="322"/>
    </row>
    <row r="84" spans="1:11" x14ac:dyDescent="0.3">
      <c r="A84" s="6"/>
      <c r="C84" s="59" t="s">
        <v>210</v>
      </c>
      <c r="D84" s="216"/>
      <c r="E84" s="346">
        <v>510</v>
      </c>
      <c r="F84" s="217">
        <v>510</v>
      </c>
      <c r="G84" s="218">
        <f t="shared" si="14"/>
        <v>0</v>
      </c>
      <c r="H84" s="224"/>
      <c r="I84" s="322"/>
    </row>
    <row r="85" spans="1:11" x14ac:dyDescent="0.3">
      <c r="A85" s="6"/>
      <c r="C85" s="59" t="s">
        <v>220</v>
      </c>
      <c r="D85" s="216"/>
      <c r="E85" s="346">
        <v>43451.11</v>
      </c>
      <c r="F85" s="217">
        <v>43451.11</v>
      </c>
      <c r="G85" s="218">
        <f t="shared" si="14"/>
        <v>0</v>
      </c>
      <c r="H85" s="224"/>
      <c r="I85" s="322"/>
    </row>
    <row r="86" spans="1:11" x14ac:dyDescent="0.3">
      <c r="A86" s="6"/>
      <c r="C86" s="59" t="s">
        <v>221</v>
      </c>
      <c r="D86" s="216"/>
      <c r="E86" s="346">
        <v>1590</v>
      </c>
      <c r="F86" s="217">
        <v>1590</v>
      </c>
      <c r="G86" s="218">
        <f t="shared" si="14"/>
        <v>0</v>
      </c>
      <c r="H86" s="224"/>
      <c r="I86" s="322"/>
    </row>
    <row r="87" spans="1:11" x14ac:dyDescent="0.3">
      <c r="A87" s="6"/>
      <c r="C87" s="59" t="s">
        <v>222</v>
      </c>
      <c r="D87" s="216"/>
      <c r="E87" s="346">
        <v>330</v>
      </c>
      <c r="F87" s="217">
        <v>330</v>
      </c>
      <c r="G87" s="218">
        <f t="shared" si="14"/>
        <v>0</v>
      </c>
      <c r="H87" s="224"/>
      <c r="I87" s="322"/>
    </row>
    <row r="88" spans="1:11" x14ac:dyDescent="0.3">
      <c r="A88" s="6"/>
      <c r="C88" s="59" t="s">
        <v>223</v>
      </c>
      <c r="D88" s="216"/>
      <c r="E88" s="346">
        <v>6660</v>
      </c>
      <c r="F88" s="217">
        <v>6660</v>
      </c>
      <c r="G88" s="218">
        <f t="shared" si="14"/>
        <v>0</v>
      </c>
      <c r="H88" s="224"/>
      <c r="I88" s="322"/>
    </row>
    <row r="89" spans="1:11" x14ac:dyDescent="0.3">
      <c r="A89" s="6"/>
      <c r="C89" t="s">
        <v>534</v>
      </c>
      <c r="D89" s="216"/>
      <c r="E89" s="346"/>
      <c r="F89" s="217"/>
      <c r="G89" s="218"/>
      <c r="H89" s="224"/>
      <c r="I89" s="382">
        <v>117500</v>
      </c>
    </row>
    <row r="90" spans="1:11" x14ac:dyDescent="0.3">
      <c r="A90" s="6"/>
      <c r="C90" s="59" t="s">
        <v>224</v>
      </c>
      <c r="D90" s="216"/>
      <c r="E90" s="346">
        <v>62750</v>
      </c>
      <c r="F90" s="217">
        <v>62750</v>
      </c>
      <c r="G90" s="218">
        <f>IFERROR(E90/D90,0)</f>
        <v>0</v>
      </c>
      <c r="H90" s="224"/>
      <c r="I90" s="382">
        <v>175000</v>
      </c>
    </row>
    <row r="91" spans="1:11" x14ac:dyDescent="0.3">
      <c r="A91" s="6"/>
      <c r="B91" s="9"/>
      <c r="C91" s="9"/>
      <c r="D91" s="227">
        <f>SUM(D80:D88)</f>
        <v>0</v>
      </c>
      <c r="E91" s="348">
        <v>176756.94</v>
      </c>
      <c r="F91" s="228">
        <f>SUM(F80:F90)</f>
        <v>174857.31</v>
      </c>
      <c r="G91" s="229"/>
      <c r="H91" s="224"/>
      <c r="I91" s="331">
        <f>SUM(I80:I90)</f>
        <v>292500</v>
      </c>
    </row>
    <row r="92" spans="1:11" x14ac:dyDescent="0.3">
      <c r="A92" s="6"/>
      <c r="B92" s="9"/>
      <c r="C92" s="9"/>
      <c r="D92" s="227"/>
      <c r="E92" s="348"/>
      <c r="F92" s="228"/>
      <c r="G92" s="229"/>
      <c r="H92" s="224"/>
      <c r="I92" s="331"/>
    </row>
    <row r="93" spans="1:11" x14ac:dyDescent="0.3">
      <c r="A93" s="9" t="s">
        <v>225</v>
      </c>
      <c r="B93" s="9"/>
      <c r="C93" s="9"/>
      <c r="D93" s="237">
        <f>D60+D73+D78+D91</f>
        <v>8067022.2703000009</v>
      </c>
      <c r="E93" s="350">
        <v>8073857.1900000004</v>
      </c>
      <c r="F93" s="238">
        <f>F60+F73+F78+F91</f>
        <v>8813351.1599999908</v>
      </c>
      <c r="G93" s="239">
        <f>IFERROR(E93/D93,0)</f>
        <v>1.0008472667449009</v>
      </c>
      <c r="H93" s="224"/>
      <c r="I93" s="324">
        <f>I60+I73+I78+I91</f>
        <v>9510819.9000000022</v>
      </c>
      <c r="K93" s="375"/>
    </row>
    <row r="94" spans="1:11" x14ac:dyDescent="0.3">
      <c r="A94" s="221"/>
      <c r="D94" s="216"/>
      <c r="E94" s="346"/>
      <c r="F94" s="386"/>
      <c r="G94" s="218"/>
      <c r="H94" s="224"/>
      <c r="I94" s="322"/>
      <c r="K94" s="375"/>
    </row>
    <row r="95" spans="1:11" x14ac:dyDescent="0.3">
      <c r="A95" s="9" t="s">
        <v>226</v>
      </c>
      <c r="D95" s="216"/>
      <c r="E95" s="346"/>
      <c r="F95" s="386"/>
      <c r="G95" s="218"/>
      <c r="H95" s="224"/>
      <c r="I95" s="322"/>
    </row>
    <row r="96" spans="1:11" x14ac:dyDescent="0.3">
      <c r="A96" s="221"/>
      <c r="B96" s="59" t="s">
        <v>227</v>
      </c>
      <c r="D96" s="216">
        <v>726032.004327</v>
      </c>
      <c r="E96" s="346">
        <v>717103.65</v>
      </c>
      <c r="F96" s="217">
        <v>778314.88</v>
      </c>
      <c r="G96" s="218">
        <f>IFERROR(E96/D96,0)</f>
        <v>0.98770253339551306</v>
      </c>
      <c r="H96" s="224"/>
      <c r="I96" s="322">
        <f>I93*0.09</f>
        <v>855973.7910000002</v>
      </c>
    </row>
    <row r="97" spans="1:9" x14ac:dyDescent="0.3">
      <c r="A97" s="221"/>
      <c r="D97" s="216"/>
      <c r="E97" s="346"/>
      <c r="F97" s="217"/>
      <c r="G97" s="218"/>
      <c r="H97" s="224"/>
      <c r="I97" s="322"/>
    </row>
    <row r="98" spans="1:9" x14ac:dyDescent="0.3">
      <c r="A98" s="9" t="s">
        <v>228</v>
      </c>
      <c r="D98" s="216"/>
      <c r="E98" s="383"/>
      <c r="F98" s="384"/>
      <c r="G98" s="218"/>
      <c r="H98" s="224"/>
      <c r="I98" s="322"/>
    </row>
    <row r="99" spans="1:9" x14ac:dyDescent="0.3">
      <c r="A99" s="221"/>
      <c r="B99" s="59" t="s">
        <v>229</v>
      </c>
      <c r="D99" s="216">
        <v>806702.22703000018</v>
      </c>
      <c r="E99" s="346">
        <v>619624.68000000005</v>
      </c>
      <c r="F99" s="217">
        <v>817222.7</v>
      </c>
      <c r="G99" s="218">
        <f>IFERROR(E99/D99,0)</f>
        <v>0.76809590855010379</v>
      </c>
      <c r="H99" s="224"/>
      <c r="I99" s="322">
        <f>I93*0.09</f>
        <v>855973.7910000002</v>
      </c>
    </row>
    <row r="100" spans="1:9" x14ac:dyDescent="0.3">
      <c r="A100" s="221"/>
      <c r="B100" s="59" t="s">
        <v>230</v>
      </c>
      <c r="D100" s="216">
        <v>161340.44540600001</v>
      </c>
      <c r="E100" s="346">
        <v>120266.94</v>
      </c>
      <c r="F100" s="217">
        <v>131512.43</v>
      </c>
      <c r="G100" s="218">
        <f>IFERROR(E100/D100,0)</f>
        <v>0.74542337909975454</v>
      </c>
      <c r="H100" s="224"/>
      <c r="I100" s="322">
        <f>I93*0.02</f>
        <v>190216.39800000004</v>
      </c>
    </row>
    <row r="101" spans="1:9" x14ac:dyDescent="0.3">
      <c r="A101" s="9"/>
      <c r="B101" s="9"/>
      <c r="C101" s="9"/>
      <c r="D101" s="242">
        <f>SUM(D99:D100)</f>
        <v>968042.6724360002</v>
      </c>
      <c r="E101" s="348">
        <v>739891.62000000011</v>
      </c>
      <c r="F101" s="243">
        <f>SUM(F99:F100)</f>
        <v>948735.12999999989</v>
      </c>
      <c r="G101" s="229">
        <f>IFERROR(E101/D101,0)</f>
        <v>0.76431715364171227</v>
      </c>
      <c r="H101" s="224"/>
      <c r="I101" s="332">
        <f>SUM(I99:I100)</f>
        <v>1046190.1890000002</v>
      </c>
    </row>
    <row r="102" spans="1:9" x14ac:dyDescent="0.3">
      <c r="A102" s="9"/>
      <c r="B102" s="9"/>
      <c r="C102" s="9"/>
      <c r="D102" s="237"/>
      <c r="E102" s="348"/>
      <c r="F102" s="238"/>
      <c r="G102" s="229"/>
      <c r="H102" s="224"/>
      <c r="I102" s="324"/>
    </row>
    <row r="103" spans="1:9" x14ac:dyDescent="0.3">
      <c r="A103" s="9" t="s">
        <v>231</v>
      </c>
      <c r="B103" s="9"/>
      <c r="C103" s="9"/>
      <c r="D103" s="237">
        <f t="shared" ref="D103:F103" si="15">D96+D101</f>
        <v>1694074.6767630002</v>
      </c>
      <c r="E103" s="350">
        <v>1456995.27</v>
      </c>
      <c r="F103" s="238">
        <f t="shared" si="15"/>
        <v>1727050.0099999998</v>
      </c>
      <c r="G103" s="239">
        <f>IFERROR(E103/D103,0)</f>
        <v>0.86005374496476972</v>
      </c>
      <c r="H103" s="224"/>
      <c r="I103" s="324">
        <f t="shared" ref="I103" si="16">I96+I101</f>
        <v>1902163.9800000004</v>
      </c>
    </row>
    <row r="104" spans="1:9" x14ac:dyDescent="0.3">
      <c r="D104" s="216"/>
      <c r="E104" s="346"/>
      <c r="F104" s="217"/>
      <c r="G104" s="218"/>
      <c r="H104" s="224"/>
      <c r="I104" s="322"/>
    </row>
    <row r="105" spans="1:9" x14ac:dyDescent="0.3">
      <c r="A105" s="9" t="s">
        <v>113</v>
      </c>
      <c r="D105" s="216"/>
      <c r="E105" s="346"/>
      <c r="F105" s="217"/>
      <c r="G105" s="218"/>
      <c r="H105" s="224"/>
      <c r="I105" s="322"/>
    </row>
    <row r="106" spans="1:9" x14ac:dyDescent="0.3">
      <c r="A106" s="6"/>
      <c r="B106" s="59" t="s">
        <v>114</v>
      </c>
      <c r="D106" s="216">
        <v>220000</v>
      </c>
      <c r="E106" s="346">
        <v>163000</v>
      </c>
      <c r="F106" s="217">
        <v>220000</v>
      </c>
      <c r="G106" s="218">
        <f t="shared" ref="G106:G111" si="17">IFERROR(E106/D106,0)</f>
        <v>0.74090909090909096</v>
      </c>
      <c r="H106" s="224"/>
      <c r="I106" s="322">
        <f>F106*1.05</f>
        <v>231000</v>
      </c>
    </row>
    <row r="107" spans="1:9" x14ac:dyDescent="0.3">
      <c r="A107" s="6"/>
      <c r="B107" s="59" t="s">
        <v>115</v>
      </c>
      <c r="D107" s="216">
        <v>75000</v>
      </c>
      <c r="E107" s="346">
        <v>6481.25</v>
      </c>
      <c r="F107" s="217">
        <f>E107/11*12</f>
        <v>7070.454545454546</v>
      </c>
      <c r="G107" s="218">
        <f t="shared" si="17"/>
        <v>8.6416666666666669E-2</v>
      </c>
      <c r="H107" s="224"/>
      <c r="I107" s="322">
        <f>F107*1.05</f>
        <v>7423.9772727272739</v>
      </c>
    </row>
    <row r="108" spans="1:9" x14ac:dyDescent="0.3">
      <c r="A108" s="6"/>
      <c r="B108" s="59" t="s">
        <v>116</v>
      </c>
      <c r="D108" s="216">
        <v>0</v>
      </c>
      <c r="E108" s="346">
        <v>0</v>
      </c>
      <c r="F108" s="217"/>
      <c r="G108" s="218">
        <f t="shared" si="17"/>
        <v>0</v>
      </c>
      <c r="H108" s="224"/>
      <c r="I108" s="322">
        <f>F108*1.05</f>
        <v>0</v>
      </c>
    </row>
    <row r="109" spans="1:9" x14ac:dyDescent="0.3">
      <c r="A109" s="6"/>
      <c r="B109" s="59" t="s">
        <v>117</v>
      </c>
      <c r="D109" s="216">
        <v>323995.37</v>
      </c>
      <c r="E109" s="346">
        <v>313553.84000000003</v>
      </c>
      <c r="F109" s="217">
        <f>E109/11*12</f>
        <v>342058.73454545456</v>
      </c>
      <c r="G109" s="218">
        <f t="shared" si="17"/>
        <v>0.96777259502195978</v>
      </c>
      <c r="H109" s="224"/>
      <c r="I109" s="322">
        <f>F109*1.05</f>
        <v>359161.67127272731</v>
      </c>
    </row>
    <row r="110" spans="1:9" x14ac:dyDescent="0.3">
      <c r="A110" s="6"/>
      <c r="B110" s="59" t="s">
        <v>118</v>
      </c>
      <c r="D110" s="216">
        <v>99967.255500000014</v>
      </c>
      <c r="E110" s="346">
        <v>92718.26</v>
      </c>
      <c r="F110" s="217">
        <f>E110/11*12</f>
        <v>101147.19272727272</v>
      </c>
      <c r="G110" s="218">
        <f t="shared" si="17"/>
        <v>0.92748630075174943</v>
      </c>
      <c r="H110" s="224"/>
      <c r="I110" s="322">
        <f>F110*1.05</f>
        <v>106204.55236363637</v>
      </c>
    </row>
    <row r="111" spans="1:9" x14ac:dyDescent="0.3">
      <c r="A111" s="9"/>
      <c r="B111" s="9"/>
      <c r="C111" s="9"/>
      <c r="D111" s="227">
        <f>SUM(D106:D110)</f>
        <v>718962.62549999997</v>
      </c>
      <c r="E111" s="348">
        <v>575753.35</v>
      </c>
      <c r="F111" s="228">
        <f>SUM(F106:F110)</f>
        <v>670276.38181818184</v>
      </c>
      <c r="G111" s="229">
        <f t="shared" si="17"/>
        <v>0.8008112377185036</v>
      </c>
      <c r="H111" s="224"/>
      <c r="I111" s="331">
        <f>SUM(I106:I110)</f>
        <v>703790.20090909093</v>
      </c>
    </row>
    <row r="112" spans="1:9" x14ac:dyDescent="0.3">
      <c r="A112" s="9" t="s">
        <v>232</v>
      </c>
      <c r="D112" s="216"/>
      <c r="E112" s="346"/>
      <c r="F112" s="217"/>
      <c r="G112" s="218"/>
      <c r="H112" s="224"/>
      <c r="I112" s="322"/>
    </row>
    <row r="113" spans="1:9" x14ac:dyDescent="0.3">
      <c r="A113" s="6"/>
      <c r="B113" s="59" t="s">
        <v>233</v>
      </c>
      <c r="D113" s="216">
        <v>56201.739000000001</v>
      </c>
      <c r="E113" s="346">
        <v>52188.509999999995</v>
      </c>
      <c r="F113" s="217">
        <v>60000</v>
      </c>
      <c r="G113" s="218">
        <f t="shared" ref="G113:G130" si="18">IFERROR(E113/D113,0)</f>
        <v>0.92859244088514759</v>
      </c>
      <c r="H113" s="224"/>
      <c r="I113" s="322">
        <f t="shared" ref="I113:I129" si="19">F113*1.05</f>
        <v>63000</v>
      </c>
    </row>
    <row r="114" spans="1:9" x14ac:dyDescent="0.3">
      <c r="A114" s="6"/>
      <c r="B114" s="59" t="s">
        <v>234</v>
      </c>
      <c r="D114" s="216">
        <v>1500</v>
      </c>
      <c r="E114" s="346">
        <v>0</v>
      </c>
      <c r="F114" s="217">
        <f t="shared" ref="F114:F119" si="20">E114/11*12</f>
        <v>0</v>
      </c>
      <c r="G114" s="218">
        <f t="shared" si="18"/>
        <v>0</v>
      </c>
      <c r="H114" s="224"/>
      <c r="I114" s="322">
        <f t="shared" si="19"/>
        <v>0</v>
      </c>
    </row>
    <row r="115" spans="1:9" x14ac:dyDescent="0.3">
      <c r="A115" s="6"/>
      <c r="B115" s="59" t="s">
        <v>235</v>
      </c>
      <c r="D115" s="216">
        <v>25000</v>
      </c>
      <c r="E115" s="346">
        <v>19940.68</v>
      </c>
      <c r="F115" s="357">
        <f t="shared" si="20"/>
        <v>21753.46909090909</v>
      </c>
      <c r="G115" s="218">
        <f t="shared" si="18"/>
        <v>0.79762719999999998</v>
      </c>
      <c r="H115" s="224"/>
      <c r="I115" s="322">
        <f t="shared" si="19"/>
        <v>22841.142545454546</v>
      </c>
    </row>
    <row r="116" spans="1:9" x14ac:dyDescent="0.3">
      <c r="A116" s="6"/>
      <c r="B116" s="59" t="s">
        <v>236</v>
      </c>
      <c r="D116" s="216">
        <v>55000</v>
      </c>
      <c r="E116" s="346">
        <v>25576.9</v>
      </c>
      <c r="F116" s="357">
        <f t="shared" si="20"/>
        <v>27902.072727272731</v>
      </c>
      <c r="G116" s="218">
        <f t="shared" si="18"/>
        <v>0.46503454545454548</v>
      </c>
      <c r="H116" s="224"/>
      <c r="I116" s="322">
        <f t="shared" si="19"/>
        <v>29297.176363636368</v>
      </c>
    </row>
    <row r="117" spans="1:9" x14ac:dyDescent="0.3">
      <c r="A117" s="6"/>
      <c r="B117" s="59" t="s">
        <v>237</v>
      </c>
      <c r="D117" s="216">
        <v>25000</v>
      </c>
      <c r="E117" s="346">
        <v>22196.6</v>
      </c>
      <c r="F117" s="357">
        <f t="shared" si="20"/>
        <v>24214.472727272725</v>
      </c>
      <c r="G117" s="218">
        <f t="shared" si="18"/>
        <v>0.88786399999999999</v>
      </c>
      <c r="H117" s="224"/>
      <c r="I117" s="322">
        <f t="shared" si="19"/>
        <v>25425.196363636362</v>
      </c>
    </row>
    <row r="118" spans="1:9" x14ac:dyDescent="0.3">
      <c r="A118" s="6"/>
      <c r="B118" s="59" t="s">
        <v>238</v>
      </c>
      <c r="D118" s="216">
        <v>230849.49000000002</v>
      </c>
      <c r="E118" s="346">
        <v>266073.01</v>
      </c>
      <c r="F118" s="357">
        <f t="shared" si="20"/>
        <v>290261.46545454545</v>
      </c>
      <c r="G118" s="218">
        <f t="shared" si="18"/>
        <v>1.1525821867745949</v>
      </c>
      <c r="H118" s="224"/>
      <c r="I118" s="322">
        <f t="shared" si="19"/>
        <v>304774.53872727277</v>
      </c>
    </row>
    <row r="119" spans="1:9" x14ac:dyDescent="0.3">
      <c r="A119" s="6"/>
      <c r="B119" s="59" t="s">
        <v>239</v>
      </c>
      <c r="D119" s="216">
        <v>30000</v>
      </c>
      <c r="E119" s="346">
        <v>52449.41</v>
      </c>
      <c r="F119" s="217">
        <f t="shared" si="20"/>
        <v>57217.538181818192</v>
      </c>
      <c r="G119" s="218">
        <f t="shared" si="18"/>
        <v>1.7483136666666668</v>
      </c>
      <c r="H119" s="224"/>
      <c r="I119" s="322">
        <f t="shared" si="19"/>
        <v>60078.415090909104</v>
      </c>
    </row>
    <row r="120" spans="1:9" x14ac:dyDescent="0.3">
      <c r="A120" s="6"/>
      <c r="B120" s="59" t="s">
        <v>240</v>
      </c>
      <c r="D120" s="216">
        <v>0</v>
      </c>
      <c r="E120" s="346">
        <v>0</v>
      </c>
      <c r="F120" s="217">
        <f t="shared" ref="F120:F126" si="21">E120/11*12</f>
        <v>0</v>
      </c>
      <c r="G120" s="218">
        <f t="shared" si="18"/>
        <v>0</v>
      </c>
      <c r="H120" s="224"/>
      <c r="I120" s="322">
        <f t="shared" si="19"/>
        <v>0</v>
      </c>
    </row>
    <row r="121" spans="1:9" x14ac:dyDescent="0.3">
      <c r="A121" s="6"/>
      <c r="B121" s="59" t="s">
        <v>241</v>
      </c>
      <c r="D121" s="216">
        <v>0</v>
      </c>
      <c r="E121" s="346"/>
      <c r="F121" s="217">
        <f t="shared" si="21"/>
        <v>0</v>
      </c>
      <c r="G121" s="218">
        <f t="shared" si="18"/>
        <v>0</v>
      </c>
      <c r="H121" s="224"/>
      <c r="I121" s="322">
        <f t="shared" si="19"/>
        <v>0</v>
      </c>
    </row>
    <row r="122" spans="1:9" x14ac:dyDescent="0.3">
      <c r="A122" s="6"/>
      <c r="B122" s="59" t="s">
        <v>242</v>
      </c>
      <c r="D122" s="216">
        <v>50000</v>
      </c>
      <c r="E122" s="346">
        <v>100362.6</v>
      </c>
      <c r="F122" s="217">
        <f t="shared" si="21"/>
        <v>109486.47272727275</v>
      </c>
      <c r="G122" s="218">
        <f t="shared" si="18"/>
        <v>2.0072520000000003</v>
      </c>
      <c r="H122" s="224"/>
      <c r="I122" s="322">
        <f t="shared" si="19"/>
        <v>114960.79636363639</v>
      </c>
    </row>
    <row r="123" spans="1:9" x14ac:dyDescent="0.3">
      <c r="A123" s="6"/>
      <c r="B123" s="59" t="s">
        <v>243</v>
      </c>
      <c r="D123" s="216">
        <v>0</v>
      </c>
      <c r="E123" s="346"/>
      <c r="F123" s="217">
        <f t="shared" si="21"/>
        <v>0</v>
      </c>
      <c r="G123" s="218">
        <f t="shared" si="18"/>
        <v>0</v>
      </c>
      <c r="H123" s="224"/>
      <c r="I123" s="322">
        <f t="shared" si="19"/>
        <v>0</v>
      </c>
    </row>
    <row r="124" spans="1:9" x14ac:dyDescent="0.3">
      <c r="A124" s="6"/>
      <c r="B124" s="59" t="s">
        <v>244</v>
      </c>
      <c r="D124" s="216">
        <v>120000</v>
      </c>
      <c r="E124" s="346">
        <v>89907</v>
      </c>
      <c r="F124" s="217">
        <f t="shared" si="21"/>
        <v>98080.363636363632</v>
      </c>
      <c r="G124" s="218">
        <f t="shared" si="18"/>
        <v>0.74922500000000003</v>
      </c>
      <c r="H124" s="224"/>
      <c r="I124" s="322">
        <f t="shared" si="19"/>
        <v>102984.38181818182</v>
      </c>
    </row>
    <row r="125" spans="1:9" x14ac:dyDescent="0.3">
      <c r="A125" s="6"/>
      <c r="B125" s="59" t="s">
        <v>245</v>
      </c>
      <c r="D125" s="216">
        <v>15000</v>
      </c>
      <c r="E125" s="346">
        <v>33981.160000000003</v>
      </c>
      <c r="F125" s="217">
        <f t="shared" si="21"/>
        <v>37070.356363636369</v>
      </c>
      <c r="G125" s="218">
        <f t="shared" si="18"/>
        <v>2.2654106666666669</v>
      </c>
      <c r="H125" s="224"/>
      <c r="I125" s="322">
        <f t="shared" si="19"/>
        <v>38923.874181818188</v>
      </c>
    </row>
    <row r="126" spans="1:9" x14ac:dyDescent="0.3">
      <c r="A126" s="6"/>
      <c r="B126" s="59" t="s">
        <v>246</v>
      </c>
      <c r="D126" s="216">
        <v>30000</v>
      </c>
      <c r="E126" s="346">
        <v>30719.86</v>
      </c>
      <c r="F126" s="217">
        <f t="shared" si="21"/>
        <v>33512.574545454547</v>
      </c>
      <c r="G126" s="218">
        <f t="shared" si="18"/>
        <v>1.0239953333333334</v>
      </c>
      <c r="H126" s="224"/>
      <c r="I126" s="322">
        <f t="shared" si="19"/>
        <v>35188.203272727274</v>
      </c>
    </row>
    <row r="127" spans="1:9" x14ac:dyDescent="0.3">
      <c r="A127" s="6"/>
      <c r="B127" s="59" t="s">
        <v>247</v>
      </c>
      <c r="D127" s="216">
        <v>120000</v>
      </c>
      <c r="E127" s="346">
        <v>118458.28</v>
      </c>
      <c r="F127" s="357">
        <f>E127/11*12</f>
        <v>129227.21454545454</v>
      </c>
      <c r="G127" s="218">
        <f t="shared" si="18"/>
        <v>0.9871523333333333</v>
      </c>
      <c r="H127" s="224"/>
      <c r="I127" s="322">
        <f t="shared" si="19"/>
        <v>135688.57527272726</v>
      </c>
    </row>
    <row r="128" spans="1:9" x14ac:dyDescent="0.3">
      <c r="A128" s="6"/>
      <c r="B128" s="59" t="s">
        <v>248</v>
      </c>
      <c r="D128" s="216">
        <v>210572.38999999993</v>
      </c>
      <c r="E128" s="346">
        <v>127622.68</v>
      </c>
      <c r="F128" s="357">
        <f>E128/11*12</f>
        <v>139224.74181818182</v>
      </c>
      <c r="G128" s="218">
        <f t="shared" si="18"/>
        <v>0.60607508895159545</v>
      </c>
      <c r="H128" s="224"/>
      <c r="I128" s="322">
        <f t="shared" si="19"/>
        <v>146185.97890909092</v>
      </c>
    </row>
    <row r="129" spans="1:9" x14ac:dyDescent="0.3">
      <c r="A129" s="6"/>
      <c r="B129" s="59" t="s">
        <v>249</v>
      </c>
      <c r="D129" s="216"/>
      <c r="E129" s="346">
        <v>4215.71</v>
      </c>
      <c r="F129" s="357">
        <f>E129/11*12</f>
        <v>4598.9563636363637</v>
      </c>
      <c r="G129" s="218">
        <f t="shared" si="18"/>
        <v>0</v>
      </c>
      <c r="H129" s="224"/>
      <c r="I129" s="322">
        <f t="shared" si="19"/>
        <v>4828.9041818181822</v>
      </c>
    </row>
    <row r="130" spans="1:9" x14ac:dyDescent="0.3">
      <c r="A130" s="9"/>
      <c r="B130" s="9"/>
      <c r="C130" s="9"/>
      <c r="D130" s="227">
        <f>SUM(D113:D129)</f>
        <v>969123.61899999995</v>
      </c>
      <c r="E130" s="348">
        <v>943692.39999999991</v>
      </c>
      <c r="F130" s="228">
        <f>SUM(F113:F129)</f>
        <v>1032549.6981818182</v>
      </c>
      <c r="G130" s="229">
        <f t="shared" si="18"/>
        <v>0.97375853967294546</v>
      </c>
      <c r="H130" s="224"/>
      <c r="I130" s="331">
        <f>SUM(I113:I129)</f>
        <v>1084177.1830909094</v>
      </c>
    </row>
    <row r="131" spans="1:9" x14ac:dyDescent="0.3">
      <c r="A131" s="9" t="s">
        <v>250</v>
      </c>
      <c r="D131" s="216"/>
      <c r="E131" s="346"/>
      <c r="F131" s="217"/>
      <c r="G131" s="218"/>
      <c r="H131" s="224"/>
      <c r="I131" s="322"/>
    </row>
    <row r="132" spans="1:9" x14ac:dyDescent="0.3">
      <c r="A132" s="6"/>
      <c r="B132" s="59" t="s">
        <v>251</v>
      </c>
      <c r="D132" s="216">
        <v>85000</v>
      </c>
      <c r="E132" s="346">
        <v>77336.039999999994</v>
      </c>
      <c r="F132" s="217">
        <f>E132/11*12</f>
        <v>84366.589090909081</v>
      </c>
      <c r="G132" s="218">
        <f>IFERROR(E132/D132,0)</f>
        <v>0.90983576470588223</v>
      </c>
      <c r="H132" s="224"/>
      <c r="I132" s="322">
        <f>F132*1.05</f>
        <v>88584.918545454537</v>
      </c>
    </row>
    <row r="133" spans="1:9" x14ac:dyDescent="0.3">
      <c r="A133" s="6"/>
      <c r="B133" s="59" t="s">
        <v>252</v>
      </c>
      <c r="D133" s="216">
        <v>130000</v>
      </c>
      <c r="E133" s="346">
        <v>137448.29999999999</v>
      </c>
      <c r="F133" s="357">
        <f>E133/11*12</f>
        <v>149943.59999999998</v>
      </c>
      <c r="G133" s="218">
        <f>IFERROR(E133/D133,0)</f>
        <v>1.0572946153846152</v>
      </c>
      <c r="H133" s="224"/>
      <c r="I133" s="322">
        <f>F133*1.05</f>
        <v>157440.77999999997</v>
      </c>
    </row>
    <row r="134" spans="1:9" x14ac:dyDescent="0.3">
      <c r="A134" s="6"/>
      <c r="B134" s="59" t="s">
        <v>253</v>
      </c>
      <c r="D134" s="216">
        <v>7500</v>
      </c>
      <c r="E134" s="346">
        <v>16591.57</v>
      </c>
      <c r="F134" s="217">
        <f>E134/11*12</f>
        <v>18099.894545454546</v>
      </c>
      <c r="G134" s="218">
        <f>IFERROR(E134/D134,0)</f>
        <v>2.2122093333333335</v>
      </c>
      <c r="H134" s="224"/>
      <c r="I134" s="322">
        <f>F134*1.05</f>
        <v>19004.889272727276</v>
      </c>
    </row>
    <row r="135" spans="1:9" x14ac:dyDescent="0.3">
      <c r="A135" s="9"/>
      <c r="B135" s="9"/>
      <c r="C135" s="9"/>
      <c r="D135" s="227">
        <f>SUM(D132:D134)</f>
        <v>222500</v>
      </c>
      <c r="E135" s="348">
        <v>231375.90999999997</v>
      </c>
      <c r="F135" s="228">
        <f>SUM(F132:F134)</f>
        <v>252410.08363636362</v>
      </c>
      <c r="G135" s="229">
        <f>IFERROR(E135/D135,0)</f>
        <v>1.0398917303370785</v>
      </c>
      <c r="H135" s="224"/>
      <c r="I135" s="331">
        <f>SUM(I132:I134)</f>
        <v>265030.58781818178</v>
      </c>
    </row>
    <row r="136" spans="1:9" x14ac:dyDescent="0.3">
      <c r="A136" s="9" t="s">
        <v>254</v>
      </c>
      <c r="D136" s="216"/>
      <c r="E136" s="346"/>
      <c r="F136" s="217"/>
      <c r="G136" s="218"/>
      <c r="H136" s="224"/>
      <c r="I136" s="322"/>
    </row>
    <row r="137" spans="1:9" x14ac:dyDescent="0.3">
      <c r="A137" s="6"/>
      <c r="B137" s="59" t="s">
        <v>255</v>
      </c>
      <c r="D137" s="216"/>
      <c r="E137" s="346"/>
      <c r="F137" s="217"/>
      <c r="G137" s="218">
        <f>IFERROR(#REF!/#REF!,0)</f>
        <v>0</v>
      </c>
      <c r="H137" s="224"/>
      <c r="I137" s="322">
        <f t="shared" ref="I137:I142" si="22">F137*1.05</f>
        <v>0</v>
      </c>
    </row>
    <row r="138" spans="1:9" x14ac:dyDescent="0.3">
      <c r="A138" s="6"/>
      <c r="B138" s="59" t="s">
        <v>256</v>
      </c>
      <c r="D138" s="216"/>
      <c r="E138" s="346"/>
      <c r="F138" s="217"/>
      <c r="G138" s="218">
        <f>IFERROR(#REF!/#REF!,0)</f>
        <v>0</v>
      </c>
      <c r="H138" s="224"/>
      <c r="I138" s="322">
        <f t="shared" si="22"/>
        <v>0</v>
      </c>
    </row>
    <row r="139" spans="1:9" x14ac:dyDescent="0.3">
      <c r="A139" s="6"/>
      <c r="B139" s="59" t="s">
        <v>257</v>
      </c>
      <c r="D139" s="216">
        <v>60000</v>
      </c>
      <c r="E139" s="346">
        <v>34561.620000000003</v>
      </c>
      <c r="F139" s="217">
        <f>E139/11*12</f>
        <v>37703.585454545457</v>
      </c>
      <c r="G139" s="218">
        <f>IFERROR(E139/D139,0)</f>
        <v>0.57602700000000007</v>
      </c>
      <c r="H139" s="224"/>
      <c r="I139" s="322">
        <f t="shared" si="22"/>
        <v>39588.764727272734</v>
      </c>
    </row>
    <row r="140" spans="1:9" x14ac:dyDescent="0.3">
      <c r="A140" s="6"/>
      <c r="B140" s="59" t="s">
        <v>258</v>
      </c>
      <c r="D140" s="216">
        <v>500000</v>
      </c>
      <c r="E140" s="346">
        <v>401369.85000000009</v>
      </c>
      <c r="F140" s="217">
        <f>E140/11*12</f>
        <v>437858.0181818183</v>
      </c>
      <c r="G140" s="218">
        <f>IFERROR(E140/D140,0)</f>
        <v>0.80273970000000017</v>
      </c>
      <c r="H140" s="224"/>
      <c r="I140" s="322">
        <f t="shared" si="22"/>
        <v>459750.91909090924</v>
      </c>
    </row>
    <row r="141" spans="1:9" x14ac:dyDescent="0.3">
      <c r="A141" s="6"/>
      <c r="B141" s="59" t="s">
        <v>259</v>
      </c>
      <c r="D141" s="216">
        <v>0</v>
      </c>
      <c r="E141" s="346"/>
      <c r="F141" s="217">
        <f t="shared" ref="F141:F142" si="23">E141/10*12</f>
        <v>0</v>
      </c>
      <c r="G141" s="218">
        <f>IFERROR(E141/D141,0)</f>
        <v>0</v>
      </c>
      <c r="H141" s="224"/>
      <c r="I141" s="322">
        <f t="shared" si="22"/>
        <v>0</v>
      </c>
    </row>
    <row r="142" spans="1:9" x14ac:dyDescent="0.3">
      <c r="A142" s="6"/>
      <c r="B142" s="59" t="s">
        <v>260</v>
      </c>
      <c r="D142" s="216">
        <v>10000</v>
      </c>
      <c r="E142" s="346"/>
      <c r="F142" s="217">
        <f t="shared" si="23"/>
        <v>0</v>
      </c>
      <c r="G142" s="218">
        <f>IFERROR(E142/D142,0)</f>
        <v>0</v>
      </c>
      <c r="H142" s="224"/>
      <c r="I142" s="322">
        <f t="shared" si="22"/>
        <v>0</v>
      </c>
    </row>
    <row r="143" spans="1:9" x14ac:dyDescent="0.3">
      <c r="A143" s="6"/>
      <c r="B143" s="9"/>
      <c r="C143" s="9"/>
      <c r="D143" s="227">
        <f t="shared" ref="D143" si="24">SUM(D137:D142)</f>
        <v>570000</v>
      </c>
      <c r="E143" s="348">
        <v>435931.47000000009</v>
      </c>
      <c r="F143" s="228">
        <f>SUM(F139:F142)</f>
        <v>475561.60363636375</v>
      </c>
      <c r="G143" s="229">
        <f>IFERROR(E143/D143,0)</f>
        <v>0.76479205263157912</v>
      </c>
      <c r="H143" s="224"/>
      <c r="I143" s="331">
        <f t="shared" ref="I143" si="25">SUM(I137:I142)</f>
        <v>499339.68381818198</v>
      </c>
    </row>
    <row r="144" spans="1:9" x14ac:dyDescent="0.3">
      <c r="A144" s="9" t="s">
        <v>261</v>
      </c>
      <c r="D144" s="216"/>
      <c r="E144" s="346"/>
      <c r="F144" s="217"/>
      <c r="G144" s="218"/>
      <c r="H144" s="224"/>
      <c r="I144" s="322"/>
    </row>
    <row r="145" spans="1:9" x14ac:dyDescent="0.3">
      <c r="A145" s="6"/>
      <c r="B145" s="59" t="s">
        <v>262</v>
      </c>
      <c r="D145" s="216">
        <v>250000</v>
      </c>
      <c r="E145" s="346">
        <v>197600.6</v>
      </c>
      <c r="F145" s="217">
        <f>E145/11*12</f>
        <v>215564.29090909092</v>
      </c>
      <c r="G145" s="218">
        <f t="shared" ref="G145:G153" si="26">IFERROR(E145/D145,0)</f>
        <v>0.79040240000000006</v>
      </c>
      <c r="H145" s="224"/>
      <c r="I145" s="322">
        <f t="shared" ref="I145:I152" si="27">F145*1.05</f>
        <v>226342.50545454549</v>
      </c>
    </row>
    <row r="146" spans="1:9" x14ac:dyDescent="0.3">
      <c r="A146" s="6"/>
      <c r="B146" s="59" t="s">
        <v>263</v>
      </c>
      <c r="D146" s="216">
        <v>7500</v>
      </c>
      <c r="E146" s="346">
        <v>6757.93</v>
      </c>
      <c r="F146" s="217">
        <f>E146/11*12</f>
        <v>7372.2872727272734</v>
      </c>
      <c r="G146" s="218">
        <f t="shared" si="26"/>
        <v>0.90105733333333338</v>
      </c>
      <c r="H146" s="224"/>
      <c r="I146" s="322">
        <f t="shared" si="27"/>
        <v>7740.9016363636374</v>
      </c>
    </row>
    <row r="147" spans="1:9" x14ac:dyDescent="0.3">
      <c r="A147" s="6"/>
      <c r="B147" s="59" t="s">
        <v>184</v>
      </c>
      <c r="D147" s="216">
        <v>5000</v>
      </c>
      <c r="E147" s="346"/>
      <c r="F147" s="217">
        <f t="shared" ref="F147:F152" si="28">E147/11*12</f>
        <v>0</v>
      </c>
      <c r="G147" s="218">
        <f t="shared" si="26"/>
        <v>0</v>
      </c>
      <c r="H147" s="224"/>
      <c r="I147" s="322">
        <f t="shared" si="27"/>
        <v>0</v>
      </c>
    </row>
    <row r="148" spans="1:9" x14ac:dyDescent="0.3">
      <c r="A148" s="6"/>
      <c r="B148" s="59" t="s">
        <v>264</v>
      </c>
      <c r="D148" s="216">
        <v>1000</v>
      </c>
      <c r="E148" s="346">
        <v>354.63</v>
      </c>
      <c r="F148" s="217">
        <f t="shared" si="28"/>
        <v>386.86909090909091</v>
      </c>
      <c r="G148" s="218">
        <f t="shared" si="26"/>
        <v>0.35463</v>
      </c>
      <c r="H148" s="224"/>
      <c r="I148" s="322">
        <f t="shared" si="27"/>
        <v>406.21254545454548</v>
      </c>
    </row>
    <row r="149" spans="1:9" x14ac:dyDescent="0.3">
      <c r="A149" s="6"/>
      <c r="B149" s="59" t="s">
        <v>265</v>
      </c>
      <c r="D149" s="216">
        <v>10000</v>
      </c>
      <c r="E149" s="346"/>
      <c r="F149" s="217">
        <f t="shared" si="28"/>
        <v>0</v>
      </c>
      <c r="G149" s="218">
        <f t="shared" si="26"/>
        <v>0</v>
      </c>
      <c r="H149" s="224"/>
      <c r="I149" s="322">
        <f t="shared" si="27"/>
        <v>0</v>
      </c>
    </row>
    <row r="150" spans="1:9" x14ac:dyDescent="0.3">
      <c r="A150" s="6"/>
      <c r="B150" s="59" t="s">
        <v>266</v>
      </c>
      <c r="D150" s="216">
        <v>5000</v>
      </c>
      <c r="E150" s="346"/>
      <c r="F150" s="217">
        <f t="shared" si="28"/>
        <v>0</v>
      </c>
      <c r="G150" s="218">
        <f t="shared" si="26"/>
        <v>0</v>
      </c>
      <c r="H150" s="224"/>
      <c r="I150" s="322">
        <f t="shared" si="27"/>
        <v>0</v>
      </c>
    </row>
    <row r="151" spans="1:9" x14ac:dyDescent="0.3">
      <c r="A151" s="6"/>
      <c r="B151" s="59" t="s">
        <v>267</v>
      </c>
      <c r="D151" s="216">
        <v>10000</v>
      </c>
      <c r="E151" s="346"/>
      <c r="F151" s="217">
        <f t="shared" si="28"/>
        <v>0</v>
      </c>
      <c r="G151" s="218">
        <f t="shared" si="26"/>
        <v>0</v>
      </c>
      <c r="H151" s="224"/>
      <c r="I151" s="322">
        <f t="shared" si="27"/>
        <v>0</v>
      </c>
    </row>
    <row r="152" spans="1:9" x14ac:dyDescent="0.3">
      <c r="A152" s="6"/>
      <c r="B152" s="59" t="s">
        <v>268</v>
      </c>
      <c r="D152" s="216">
        <v>10000</v>
      </c>
      <c r="E152" s="346"/>
      <c r="F152" s="217">
        <f t="shared" si="28"/>
        <v>0</v>
      </c>
      <c r="G152" s="218">
        <f t="shared" si="26"/>
        <v>0</v>
      </c>
      <c r="H152" s="224"/>
      <c r="I152" s="322">
        <f t="shared" si="27"/>
        <v>0</v>
      </c>
    </row>
    <row r="153" spans="1:9" x14ac:dyDescent="0.3">
      <c r="A153" s="9"/>
      <c r="B153" s="9"/>
      <c r="C153" s="9"/>
      <c r="D153" s="227">
        <f t="shared" ref="D153" si="29">SUM(D145:D152)</f>
        <v>298500</v>
      </c>
      <c r="E153" s="348">
        <v>204713.16</v>
      </c>
      <c r="F153" s="228">
        <f>SUM(F145:F152)</f>
        <v>223323.44727272727</v>
      </c>
      <c r="G153" s="229">
        <f t="shared" si="26"/>
        <v>0.68580623115577888</v>
      </c>
      <c r="H153" s="224"/>
      <c r="I153" s="331">
        <f t="shared" ref="I153" si="30">SUM(I145:I152)</f>
        <v>234489.61963636367</v>
      </c>
    </row>
    <row r="154" spans="1:9" x14ac:dyDescent="0.3">
      <c r="A154" s="9" t="s">
        <v>269</v>
      </c>
      <c r="D154" s="216"/>
      <c r="E154" s="346"/>
      <c r="F154" s="217"/>
      <c r="G154" s="218"/>
      <c r="H154" s="224"/>
      <c r="I154" s="322"/>
    </row>
    <row r="155" spans="1:9" x14ac:dyDescent="0.3">
      <c r="A155" s="6"/>
      <c r="B155" s="59" t="s">
        <v>270</v>
      </c>
      <c r="D155" s="216">
        <v>93747</v>
      </c>
      <c r="E155" s="346">
        <v>97334.19</v>
      </c>
      <c r="F155" s="217">
        <v>93747</v>
      </c>
      <c r="G155" s="218">
        <f>IFERROR(E155/D155,0)</f>
        <v>1.0382645844667029</v>
      </c>
      <c r="H155" s="224"/>
      <c r="I155" s="322">
        <f>Insurance!F29</f>
        <v>103121.7</v>
      </c>
    </row>
    <row r="156" spans="1:9" x14ac:dyDescent="0.3">
      <c r="A156" s="6"/>
      <c r="B156" s="59" t="s">
        <v>271</v>
      </c>
      <c r="D156" s="216">
        <v>0</v>
      </c>
      <c r="E156" s="346"/>
      <c r="F156" s="217">
        <f>E156/11*12</f>
        <v>0</v>
      </c>
      <c r="G156" s="218">
        <f>IFERROR(E156/D156,0)</f>
        <v>0</v>
      </c>
      <c r="H156" s="224"/>
      <c r="I156" s="322"/>
    </row>
    <row r="157" spans="1:9" x14ac:dyDescent="0.3">
      <c r="A157" s="6"/>
      <c r="B157" s="59" t="s">
        <v>272</v>
      </c>
      <c r="D157" s="216">
        <v>0</v>
      </c>
      <c r="E157" s="346"/>
      <c r="F157" s="217">
        <f t="shared" ref="F157:F158" si="31">E157/11*12</f>
        <v>0</v>
      </c>
      <c r="G157" s="218">
        <f>IFERROR(E157/D157,0)</f>
        <v>0</v>
      </c>
      <c r="H157" s="224"/>
      <c r="I157" s="322"/>
    </row>
    <row r="158" spans="1:9" x14ac:dyDescent="0.3">
      <c r="A158" s="6"/>
      <c r="B158" s="59" t="s">
        <v>273</v>
      </c>
      <c r="D158" s="216">
        <v>0</v>
      </c>
      <c r="E158" s="346"/>
      <c r="F158" s="217">
        <f t="shared" si="31"/>
        <v>0</v>
      </c>
      <c r="G158" s="218">
        <f>IFERROR(E158/D158,0)</f>
        <v>0</v>
      </c>
      <c r="H158" s="224"/>
      <c r="I158" s="322"/>
    </row>
    <row r="159" spans="1:9" x14ac:dyDescent="0.3">
      <c r="A159" s="9"/>
      <c r="B159" s="9"/>
      <c r="C159" s="9"/>
      <c r="D159" s="227">
        <f t="shared" ref="D159" si="32">SUM(D155:D158)</f>
        <v>93747</v>
      </c>
      <c r="E159" s="348">
        <v>97334.19</v>
      </c>
      <c r="F159" s="228">
        <f>SUM(F155:F158)</f>
        <v>93747</v>
      </c>
      <c r="G159" s="229">
        <f>IFERROR(E159/D159,0)</f>
        <v>1.0382645844667029</v>
      </c>
      <c r="H159" s="224"/>
      <c r="I159" s="331">
        <f t="shared" ref="I159" si="33">SUM(I155:I158)</f>
        <v>103121.7</v>
      </c>
    </row>
    <row r="160" spans="1:9" x14ac:dyDescent="0.3">
      <c r="A160" s="9" t="s">
        <v>274</v>
      </c>
      <c r="D160" s="216"/>
      <c r="E160" s="346"/>
      <c r="F160" s="217"/>
      <c r="G160" s="218"/>
      <c r="H160" s="224"/>
      <c r="I160" s="322"/>
    </row>
    <row r="161" spans="1:9" x14ac:dyDescent="0.3">
      <c r="A161" s="6"/>
      <c r="B161" s="59" t="s">
        <v>275</v>
      </c>
      <c r="D161" s="216">
        <v>1402269</v>
      </c>
      <c r="E161" s="346">
        <v>1285416</v>
      </c>
      <c r="F161" s="217">
        <f t="shared" ref="F161:F167" si="34">E161/11*12</f>
        <v>1402272</v>
      </c>
      <c r="G161" s="218">
        <f t="shared" ref="G161:G168" si="35">IFERROR(E161/D161,0)</f>
        <v>0.91666862777398628</v>
      </c>
      <c r="H161" s="224"/>
      <c r="I161" s="322">
        <f>Lease!E10</f>
        <v>1437326</v>
      </c>
    </row>
    <row r="162" spans="1:9" x14ac:dyDescent="0.3">
      <c r="A162" s="6"/>
      <c r="B162" s="59" t="s">
        <v>276</v>
      </c>
      <c r="D162" s="216">
        <v>112384.40400000001</v>
      </c>
      <c r="E162" s="346">
        <v>102203.64</v>
      </c>
      <c r="F162" s="217">
        <f t="shared" si="34"/>
        <v>111494.88</v>
      </c>
      <c r="G162" s="218">
        <f t="shared" si="35"/>
        <v>0.90941123823551162</v>
      </c>
      <c r="H162" s="224"/>
      <c r="I162" s="322">
        <f t="shared" ref="I162:I167" si="36">F162*1.05</f>
        <v>117069.62400000001</v>
      </c>
    </row>
    <row r="163" spans="1:9" x14ac:dyDescent="0.3">
      <c r="A163" s="6"/>
      <c r="B163" s="59" t="s">
        <v>277</v>
      </c>
      <c r="D163" s="216">
        <v>30000</v>
      </c>
      <c r="E163" s="346">
        <v>25215</v>
      </c>
      <c r="F163" s="217">
        <f t="shared" si="34"/>
        <v>27507.272727272728</v>
      </c>
      <c r="G163" s="218">
        <f t="shared" si="35"/>
        <v>0.84050000000000002</v>
      </c>
      <c r="H163" s="224"/>
      <c r="I163" s="322">
        <f t="shared" si="36"/>
        <v>28882.636363636364</v>
      </c>
    </row>
    <row r="164" spans="1:9" x14ac:dyDescent="0.3">
      <c r="A164" s="6"/>
      <c r="B164" s="59" t="s">
        <v>278</v>
      </c>
      <c r="D164" s="216">
        <v>100142.54399999999</v>
      </c>
      <c r="E164" s="346">
        <v>100702.02</v>
      </c>
      <c r="F164" s="357">
        <f t="shared" si="34"/>
        <v>109856.7490909091</v>
      </c>
      <c r="G164" s="218">
        <f t="shared" si="35"/>
        <v>1.0055867963570009</v>
      </c>
      <c r="H164" s="224"/>
      <c r="I164" s="322">
        <f t="shared" si="36"/>
        <v>115349.58654545456</v>
      </c>
    </row>
    <row r="165" spans="1:9" x14ac:dyDescent="0.3">
      <c r="A165" s="6"/>
      <c r="B165" s="59" t="s">
        <v>279</v>
      </c>
      <c r="D165" s="216">
        <v>0</v>
      </c>
      <c r="E165" s="346">
        <v>0</v>
      </c>
      <c r="F165" s="217">
        <f t="shared" si="34"/>
        <v>0</v>
      </c>
      <c r="G165" s="218">
        <f t="shared" si="35"/>
        <v>0</v>
      </c>
      <c r="H165" s="224"/>
      <c r="I165" s="322">
        <f t="shared" si="36"/>
        <v>0</v>
      </c>
    </row>
    <row r="166" spans="1:9" x14ac:dyDescent="0.3">
      <c r="A166" s="6"/>
      <c r="B166" s="59" t="s">
        <v>280</v>
      </c>
      <c r="D166" s="216">
        <v>20009.327999999998</v>
      </c>
      <c r="E166" s="346">
        <v>27849.97</v>
      </c>
      <c r="F166" s="217">
        <f t="shared" si="34"/>
        <v>30381.785454545454</v>
      </c>
      <c r="G166" s="218">
        <f t="shared" si="35"/>
        <v>1.39184934146714</v>
      </c>
      <c r="H166" s="224"/>
      <c r="I166" s="322">
        <f t="shared" si="36"/>
        <v>31900.874727272727</v>
      </c>
    </row>
    <row r="167" spans="1:9" x14ac:dyDescent="0.3">
      <c r="A167" s="6"/>
      <c r="B167" s="59" t="s">
        <v>213</v>
      </c>
      <c r="D167" s="216">
        <v>0</v>
      </c>
      <c r="E167" s="346">
        <v>0</v>
      </c>
      <c r="F167" s="217">
        <f t="shared" si="34"/>
        <v>0</v>
      </c>
      <c r="G167" s="218">
        <f t="shared" si="35"/>
        <v>0</v>
      </c>
      <c r="H167" s="224"/>
      <c r="I167" s="322">
        <f t="shared" si="36"/>
        <v>0</v>
      </c>
    </row>
    <row r="168" spans="1:9" x14ac:dyDescent="0.3">
      <c r="A168" s="9"/>
      <c r="B168" s="9"/>
      <c r="C168" s="9"/>
      <c r="D168" s="227">
        <f>SUM(D161:D167)</f>
        <v>1664805.2760000001</v>
      </c>
      <c r="E168" s="348">
        <v>1541386.63</v>
      </c>
      <c r="F168" s="228">
        <f>SUM(F161:F167)</f>
        <v>1681512.687272727</v>
      </c>
      <c r="G168" s="229">
        <f t="shared" si="35"/>
        <v>0.92586601701759608</v>
      </c>
      <c r="H168" s="224"/>
      <c r="I168" s="331">
        <f>SUM(I161:I167)</f>
        <v>1730528.7216363638</v>
      </c>
    </row>
    <row r="169" spans="1:9" x14ac:dyDescent="0.3">
      <c r="A169" s="9" t="s">
        <v>281</v>
      </c>
      <c r="D169" s="216"/>
      <c r="E169" s="346"/>
      <c r="F169" s="217"/>
      <c r="G169" s="218"/>
      <c r="H169" s="224"/>
      <c r="I169" s="322"/>
    </row>
    <row r="170" spans="1:9" x14ac:dyDescent="0.3">
      <c r="A170" s="6"/>
      <c r="B170" s="59" t="s">
        <v>282</v>
      </c>
      <c r="D170" s="216"/>
      <c r="E170" s="346">
        <v>10082.25</v>
      </c>
      <c r="F170" s="217">
        <v>10082.25</v>
      </c>
      <c r="G170" s="218">
        <f>IFERROR(E170/D170,0)</f>
        <v>0</v>
      </c>
      <c r="H170" s="224"/>
      <c r="I170" s="322">
        <v>0</v>
      </c>
    </row>
    <row r="171" spans="1:9" x14ac:dyDescent="0.3">
      <c r="A171" s="6"/>
      <c r="B171" s="59" t="s">
        <v>283</v>
      </c>
      <c r="D171" s="216"/>
      <c r="E171" s="346"/>
      <c r="F171" s="217"/>
      <c r="G171" s="218">
        <f>IFERROR(E171/D171,0)</f>
        <v>0</v>
      </c>
      <c r="H171" s="224"/>
      <c r="I171" s="322">
        <v>0</v>
      </c>
    </row>
    <row r="172" spans="1:9" x14ac:dyDescent="0.3">
      <c r="A172" s="6"/>
      <c r="B172" s="59" t="s">
        <v>188</v>
      </c>
      <c r="D172" s="216"/>
      <c r="E172" s="346"/>
      <c r="F172" s="217"/>
      <c r="G172" s="218">
        <f>IFERROR(E172/D172,0)</f>
        <v>0</v>
      </c>
      <c r="H172" s="224"/>
      <c r="I172" s="322">
        <v>0</v>
      </c>
    </row>
    <row r="173" spans="1:9" x14ac:dyDescent="0.3">
      <c r="A173" s="9"/>
      <c r="B173" s="9"/>
      <c r="C173" s="9"/>
      <c r="D173" s="227">
        <f t="shared" ref="D173" si="37">SUM(D170:D172)</f>
        <v>0</v>
      </c>
      <c r="E173" s="348">
        <v>10082.25</v>
      </c>
      <c r="F173" s="228">
        <f>SUM(F170:F172)</f>
        <v>10082.25</v>
      </c>
      <c r="G173" s="229">
        <f>IFERROR(E173/D173,0)</f>
        <v>0</v>
      </c>
      <c r="H173" s="224"/>
      <c r="I173" s="331">
        <f t="shared" ref="I173" si="38">SUM(I170:I172)</f>
        <v>0</v>
      </c>
    </row>
    <row r="174" spans="1:9" x14ac:dyDescent="0.3">
      <c r="A174" s="9"/>
      <c r="D174" s="232"/>
      <c r="E174" s="349"/>
      <c r="F174" s="233"/>
      <c r="G174" s="234"/>
      <c r="H174" s="224"/>
      <c r="I174" s="323"/>
    </row>
    <row r="175" spans="1:9" x14ac:dyDescent="0.3">
      <c r="A175" s="9" t="s">
        <v>284</v>
      </c>
      <c r="B175" s="9"/>
      <c r="C175" s="9"/>
      <c r="D175" s="237">
        <f>D93+D103+D111+D130+D135+D143+D153+D159+D168+D173</f>
        <v>14298735.467563</v>
      </c>
      <c r="E175" s="350">
        <v>13571121.82</v>
      </c>
      <c r="F175" s="238">
        <f>F93+F103+F111+F130+F135+F143+F153+F159+F168+F173</f>
        <v>14979864.321818175</v>
      </c>
      <c r="G175" s="239">
        <f>IFERROR(E175/D175,0)</f>
        <v>0.94911342690312672</v>
      </c>
      <c r="H175" s="224"/>
      <c r="I175" s="324">
        <f>I93+I103+I111+I130+I135+I143+I153+I159+I168+I173</f>
        <v>16033461.576909093</v>
      </c>
    </row>
    <row r="176" spans="1:9" x14ac:dyDescent="0.3">
      <c r="A176" s="9"/>
      <c r="D176" s="232"/>
      <c r="E176" s="349"/>
      <c r="F176" s="233"/>
      <c r="G176" s="234"/>
      <c r="H176" s="224"/>
      <c r="I176" s="323"/>
    </row>
    <row r="177" spans="1:9" x14ac:dyDescent="0.3">
      <c r="A177" s="9" t="s">
        <v>285</v>
      </c>
      <c r="B177" s="9"/>
      <c r="C177" s="9"/>
      <c r="D177" s="237">
        <f>D50-D175</f>
        <v>1589142.1324370001</v>
      </c>
      <c r="E177" s="350">
        <v>714704.3900000006</v>
      </c>
      <c r="F177" s="238">
        <f>F50-F175</f>
        <v>1260420.478181826</v>
      </c>
      <c r="G177" s="239">
        <f>IFERROR(E177/D177,0)</f>
        <v>0.44974227000323669</v>
      </c>
      <c r="H177" s="224"/>
      <c r="I177" s="324">
        <f>I50-I175</f>
        <v>898254.82309090532</v>
      </c>
    </row>
    <row r="178" spans="1:9" x14ac:dyDescent="0.3">
      <c r="D178" s="216"/>
      <c r="E178" s="346"/>
      <c r="F178" s="217"/>
      <c r="G178" s="245"/>
      <c r="H178" s="224"/>
      <c r="I178" s="322"/>
    </row>
    <row r="179" spans="1:9" x14ac:dyDescent="0.3">
      <c r="A179" s="246" t="s">
        <v>168</v>
      </c>
      <c r="B179" s="247"/>
      <c r="C179" s="247"/>
      <c r="D179" s="248"/>
      <c r="E179" s="351"/>
      <c r="F179" s="249"/>
      <c r="G179" s="250"/>
      <c r="H179" s="251"/>
      <c r="I179" s="333"/>
    </row>
    <row r="180" spans="1:9" x14ac:dyDescent="0.3">
      <c r="A180" s="246"/>
      <c r="B180" s="254" t="s">
        <v>286</v>
      </c>
      <c r="C180" s="247"/>
      <c r="D180" s="248"/>
      <c r="E180" s="351"/>
      <c r="F180" s="249"/>
      <c r="G180" s="250"/>
      <c r="H180" s="251"/>
      <c r="I180" s="333"/>
    </row>
    <row r="181" spans="1:9" x14ac:dyDescent="0.3">
      <c r="A181" s="246"/>
      <c r="B181" s="247"/>
      <c r="C181" s="247" t="s">
        <v>287</v>
      </c>
      <c r="D181" s="248"/>
      <c r="E181" s="351">
        <v>68708.320000000065</v>
      </c>
      <c r="F181" s="249">
        <v>0</v>
      </c>
      <c r="G181" s="250">
        <f>IFERROR(E181/D181,0)</f>
        <v>0</v>
      </c>
      <c r="H181" s="251"/>
      <c r="I181" s="385"/>
    </row>
    <row r="182" spans="1:9" x14ac:dyDescent="0.3">
      <c r="A182" s="247"/>
      <c r="B182" s="255" t="s">
        <v>288</v>
      </c>
      <c r="C182" s="247"/>
      <c r="D182" s="248"/>
      <c r="E182" s="351"/>
      <c r="F182" s="249"/>
      <c r="G182" s="250"/>
      <c r="H182" s="251"/>
      <c r="I182" s="333"/>
    </row>
    <row r="183" spans="1:9" x14ac:dyDescent="0.3">
      <c r="A183" s="247"/>
      <c r="B183" s="247"/>
      <c r="C183" s="247" t="s">
        <v>289</v>
      </c>
      <c r="D183" s="248">
        <v>-495257.63063063077</v>
      </c>
      <c r="E183" s="351">
        <v>-453986.17</v>
      </c>
      <c r="F183" s="356">
        <f t="shared" ref="F183:F184" si="39">E183/10*12</f>
        <v>-544783.40399999998</v>
      </c>
      <c r="G183" s="256">
        <f>IFERROR(E183/D183,0)</f>
        <v>0.91666668400832463</v>
      </c>
      <c r="H183" s="251"/>
      <c r="I183" s="333">
        <f>-Lease!K10</f>
        <v>-460200.63063063077</v>
      </c>
    </row>
    <row r="184" spans="1:9" x14ac:dyDescent="0.3">
      <c r="A184" s="247"/>
      <c r="B184" s="247"/>
      <c r="C184" s="247" t="s">
        <v>290</v>
      </c>
      <c r="D184" s="248">
        <v>-222871.26730000001</v>
      </c>
      <c r="E184" s="351">
        <v>-235070.84</v>
      </c>
      <c r="F184" s="356">
        <f t="shared" si="39"/>
        <v>-282085.00799999997</v>
      </c>
      <c r="G184" s="256">
        <f>IFERROR(E184/D184,0)</f>
        <v>1.0547382031241315</v>
      </c>
      <c r="H184" s="251"/>
      <c r="I184" s="385"/>
    </row>
    <row r="185" spans="1:9" x14ac:dyDescent="0.3">
      <c r="A185" s="257"/>
      <c r="B185" s="257"/>
      <c r="C185" s="257"/>
      <c r="D185" s="258"/>
      <c r="E185" s="352"/>
      <c r="F185" s="233"/>
      <c r="G185" s="259"/>
      <c r="H185" s="224"/>
      <c r="I185" s="334"/>
    </row>
    <row r="186" spans="1:9" x14ac:dyDescent="0.3">
      <c r="A186" s="262" t="s">
        <v>291</v>
      </c>
      <c r="B186" s="262"/>
      <c r="C186" s="262"/>
      <c r="D186" s="263">
        <f>SUM(D181:D184)</f>
        <v>-718128.89793063072</v>
      </c>
      <c r="E186" s="353">
        <v>-620348.68999999994</v>
      </c>
      <c r="F186" s="238">
        <f>SUM(F181:F184)</f>
        <v>-826868.41200000001</v>
      </c>
      <c r="G186" s="264">
        <f>IFERROR(E186/D186,0)</f>
        <v>0.86384031026686792</v>
      </c>
      <c r="H186" s="224"/>
      <c r="I186" s="335">
        <f>SUM(I181:I184)</f>
        <v>-460200.63063063077</v>
      </c>
    </row>
    <row r="187" spans="1:9" x14ac:dyDescent="0.3">
      <c r="D187" s="232"/>
      <c r="E187" s="349"/>
      <c r="F187" s="233"/>
      <c r="G187" s="267"/>
      <c r="H187" s="224"/>
      <c r="I187" s="323"/>
    </row>
    <row r="188" spans="1:9" ht="14.5" thickBot="1" x14ac:dyDescent="0.35">
      <c r="A188" s="9" t="s">
        <v>292</v>
      </c>
      <c r="B188" s="9"/>
      <c r="C188" s="9"/>
      <c r="D188" s="268">
        <f>D177+D186</f>
        <v>871013.23450636934</v>
      </c>
      <c r="E188" s="354">
        <v>94355.700000000652</v>
      </c>
      <c r="F188" s="269">
        <f t="shared" ref="F188" si="40">F177+F186</f>
        <v>433552.06618182594</v>
      </c>
      <c r="G188" s="270">
        <f>IFERROR(E188/D188,0)</f>
        <v>0.108328663976587</v>
      </c>
      <c r="H188" s="224"/>
      <c r="I188" s="336">
        <f>I177+I186</f>
        <v>438054.19246027456</v>
      </c>
    </row>
    <row r="189" spans="1:9" x14ac:dyDescent="0.3">
      <c r="D189" s="118"/>
      <c r="E189" s="118"/>
      <c r="F189" s="118"/>
      <c r="G189" s="273"/>
      <c r="H189" s="274"/>
    </row>
    <row r="190" spans="1:9" x14ac:dyDescent="0.3">
      <c r="D190" s="118"/>
      <c r="E190" s="118"/>
      <c r="F190" s="118"/>
      <c r="G190" s="118"/>
      <c r="H190" s="274"/>
    </row>
    <row r="191" spans="1:9" x14ac:dyDescent="0.3">
      <c r="D191" s="118"/>
      <c r="E191" s="118"/>
      <c r="F191" s="118"/>
      <c r="G191" s="273"/>
      <c r="H191" s="274"/>
    </row>
    <row r="192" spans="1:9" x14ac:dyDescent="0.3">
      <c r="D192" s="118"/>
      <c r="E192" s="118"/>
      <c r="F192" s="118"/>
      <c r="G192" s="273"/>
      <c r="H192" s="274"/>
    </row>
    <row r="193" spans="4:8" x14ac:dyDescent="0.3">
      <c r="D193" s="118"/>
      <c r="E193" s="118"/>
      <c r="F193" s="118"/>
      <c r="G193" s="273"/>
      <c r="H193" s="274"/>
    </row>
    <row r="194" spans="4:8" x14ac:dyDescent="0.3">
      <c r="D194" s="118"/>
      <c r="E194" s="118"/>
      <c r="F194" s="118"/>
      <c r="G194" s="273"/>
      <c r="H194" s="274"/>
    </row>
    <row r="195" spans="4:8" x14ac:dyDescent="0.3">
      <c r="D195" s="118"/>
      <c r="E195" s="118"/>
      <c r="F195" s="118"/>
      <c r="G195" s="273"/>
      <c r="H195" s="274"/>
    </row>
    <row r="196" spans="4:8" x14ac:dyDescent="0.3">
      <c r="D196" s="118"/>
      <c r="E196" s="118"/>
      <c r="F196" s="118"/>
      <c r="G196" s="273"/>
      <c r="H196" s="274"/>
    </row>
    <row r="197" spans="4:8" x14ac:dyDescent="0.3">
      <c r="D197" s="118"/>
      <c r="E197" s="118"/>
      <c r="F197" s="118"/>
      <c r="G197" s="273"/>
      <c r="H197" s="274"/>
    </row>
    <row r="198" spans="4:8" x14ac:dyDescent="0.3">
      <c r="D198" s="118"/>
      <c r="E198" s="118"/>
      <c r="F198" s="118"/>
      <c r="G198" s="273"/>
      <c r="H198" s="274"/>
    </row>
    <row r="199" spans="4:8" x14ac:dyDescent="0.3">
      <c r="D199" s="118"/>
      <c r="E199" s="118"/>
      <c r="F199" s="118"/>
      <c r="G199" s="273"/>
      <c r="H199" s="274"/>
    </row>
    <row r="200" spans="4:8" x14ac:dyDescent="0.3">
      <c r="D200" s="118"/>
      <c r="E200" s="118"/>
      <c r="F200" s="118"/>
      <c r="G200" s="273"/>
      <c r="H200" s="274"/>
    </row>
    <row r="201" spans="4:8" x14ac:dyDescent="0.3">
      <c r="D201" s="118"/>
      <c r="E201" s="118"/>
      <c r="F201" s="118"/>
      <c r="G201" s="273"/>
      <c r="H201" s="274"/>
    </row>
    <row r="202" spans="4:8" x14ac:dyDescent="0.3">
      <c r="D202" s="118"/>
      <c r="E202" s="118"/>
      <c r="F202" s="118"/>
      <c r="G202" s="273"/>
      <c r="H202" s="274"/>
    </row>
    <row r="203" spans="4:8" x14ac:dyDescent="0.3">
      <c r="D203" s="118"/>
      <c r="E203" s="118"/>
      <c r="F203" s="118"/>
      <c r="G203" s="273"/>
      <c r="H203" s="274"/>
    </row>
    <row r="204" spans="4:8" x14ac:dyDescent="0.3">
      <c r="D204" s="118"/>
      <c r="E204" s="118"/>
      <c r="F204" s="118"/>
      <c r="G204" s="273"/>
      <c r="H204" s="274"/>
    </row>
    <row r="205" spans="4:8" x14ac:dyDescent="0.3">
      <c r="D205" s="118"/>
      <c r="E205" s="118"/>
      <c r="F205" s="118"/>
      <c r="G205" s="273"/>
      <c r="H205" s="274"/>
    </row>
    <row r="206" spans="4:8" x14ac:dyDescent="0.3">
      <c r="D206" s="118"/>
      <c r="E206" s="118"/>
      <c r="F206" s="118"/>
      <c r="G206" s="273"/>
      <c r="H206" s="274"/>
    </row>
    <row r="207" spans="4:8" x14ac:dyDescent="0.3">
      <c r="D207" s="118"/>
      <c r="E207" s="118"/>
      <c r="F207" s="118"/>
      <c r="G207" s="273"/>
      <c r="H207" s="274"/>
    </row>
    <row r="208" spans="4:8" x14ac:dyDescent="0.3">
      <c r="D208" s="118"/>
      <c r="E208" s="118"/>
      <c r="F208" s="118"/>
      <c r="G208" s="273"/>
      <c r="H208" s="274"/>
    </row>
    <row r="209" spans="4:8" x14ac:dyDescent="0.3">
      <c r="D209" s="118"/>
      <c r="E209" s="118"/>
      <c r="F209" s="118"/>
      <c r="G209" s="273"/>
      <c r="H209" s="274"/>
    </row>
    <row r="210" spans="4:8" x14ac:dyDescent="0.3">
      <c r="D210" s="118"/>
      <c r="E210" s="118"/>
      <c r="F210" s="118"/>
      <c r="G210" s="273"/>
      <c r="H210" s="274"/>
    </row>
    <row r="211" spans="4:8" x14ac:dyDescent="0.3">
      <c r="D211" s="118"/>
      <c r="E211" s="118"/>
      <c r="F211" s="118"/>
      <c r="G211" s="273"/>
      <c r="H211" s="274"/>
    </row>
    <row r="212" spans="4:8" x14ac:dyDescent="0.3">
      <c r="D212" s="118"/>
      <c r="E212" s="118"/>
      <c r="F212" s="118"/>
      <c r="G212" s="273"/>
      <c r="H212" s="274"/>
    </row>
    <row r="213" spans="4:8" x14ac:dyDescent="0.3">
      <c r="D213" s="118"/>
      <c r="E213" s="118"/>
      <c r="F213" s="118"/>
      <c r="G213" s="273"/>
      <c r="H213" s="274"/>
    </row>
    <row r="214" spans="4:8" x14ac:dyDescent="0.3">
      <c r="D214" s="118"/>
      <c r="E214" s="118"/>
      <c r="F214" s="118"/>
      <c r="G214" s="273"/>
      <c r="H214" s="274"/>
    </row>
    <row r="215" spans="4:8" x14ac:dyDescent="0.3">
      <c r="D215" s="118"/>
      <c r="E215" s="118"/>
      <c r="F215" s="118"/>
      <c r="G215" s="273"/>
      <c r="H215" s="274"/>
    </row>
    <row r="216" spans="4:8" x14ac:dyDescent="0.3">
      <c r="D216" s="118"/>
      <c r="E216" s="118"/>
      <c r="F216" s="118"/>
      <c r="G216" s="273"/>
      <c r="H216" s="274"/>
    </row>
    <row r="217" spans="4:8" x14ac:dyDescent="0.3">
      <c r="D217" s="118"/>
      <c r="E217" s="118"/>
      <c r="F217" s="118"/>
      <c r="G217" s="273"/>
      <c r="H217" s="274"/>
    </row>
    <row r="218" spans="4:8" x14ac:dyDescent="0.3">
      <c r="D218" s="118"/>
      <c r="E218" s="118"/>
      <c r="F218" s="118"/>
      <c r="G218" s="273"/>
      <c r="H218" s="274"/>
    </row>
    <row r="219" spans="4:8" x14ac:dyDescent="0.3">
      <c r="D219" s="118"/>
      <c r="E219" s="118"/>
      <c r="F219" s="118"/>
      <c r="G219" s="273"/>
      <c r="H219" s="274"/>
    </row>
    <row r="220" spans="4:8" x14ac:dyDescent="0.3">
      <c r="D220" s="118"/>
      <c r="E220" s="118"/>
      <c r="F220" s="118"/>
      <c r="G220" s="273"/>
      <c r="H220" s="274"/>
    </row>
    <row r="221" spans="4:8" x14ac:dyDescent="0.3">
      <c r="D221" s="118"/>
      <c r="E221" s="118"/>
      <c r="F221" s="118"/>
      <c r="G221" s="273"/>
      <c r="H221" s="274"/>
    </row>
    <row r="222" spans="4:8" x14ac:dyDescent="0.3">
      <c r="D222" s="118"/>
      <c r="E222" s="118"/>
      <c r="F222" s="118"/>
      <c r="G222" s="273"/>
      <c r="H222" s="274"/>
    </row>
    <row r="223" spans="4:8" x14ac:dyDescent="0.3">
      <c r="D223" s="118"/>
      <c r="E223" s="118"/>
      <c r="F223" s="118"/>
      <c r="G223" s="273"/>
      <c r="H223" s="274"/>
    </row>
    <row r="224" spans="4:8" x14ac:dyDescent="0.3">
      <c r="D224" s="118"/>
      <c r="E224" s="118"/>
      <c r="F224" s="118"/>
      <c r="G224" s="273"/>
      <c r="H224" s="274"/>
    </row>
    <row r="225" spans="4:8" x14ac:dyDescent="0.3">
      <c r="D225" s="118"/>
      <c r="E225" s="118"/>
      <c r="F225" s="118"/>
      <c r="G225" s="273"/>
      <c r="H225" s="274"/>
    </row>
    <row r="226" spans="4:8" x14ac:dyDescent="0.3">
      <c r="D226" s="118"/>
      <c r="E226" s="118"/>
      <c r="F226" s="118"/>
      <c r="G226" s="273"/>
      <c r="H226" s="274"/>
    </row>
    <row r="227" spans="4:8" x14ac:dyDescent="0.3">
      <c r="D227" s="118"/>
      <c r="E227" s="118"/>
      <c r="F227" s="118"/>
      <c r="G227" s="273"/>
      <c r="H227" s="274"/>
    </row>
    <row r="228" spans="4:8" x14ac:dyDescent="0.3">
      <c r="D228" s="118"/>
      <c r="E228" s="118"/>
      <c r="F228" s="118"/>
      <c r="G228" s="273"/>
      <c r="H228" s="274"/>
    </row>
    <row r="229" spans="4:8" x14ac:dyDescent="0.3">
      <c r="D229" s="118"/>
      <c r="E229" s="118"/>
      <c r="F229" s="118"/>
      <c r="G229" s="273"/>
      <c r="H229" s="274"/>
    </row>
    <row r="230" spans="4:8" x14ac:dyDescent="0.3">
      <c r="D230" s="118"/>
      <c r="E230" s="118"/>
      <c r="F230" s="118"/>
      <c r="G230" s="273"/>
      <c r="H230" s="274"/>
    </row>
    <row r="231" spans="4:8" x14ac:dyDescent="0.3">
      <c r="D231" s="118"/>
      <c r="E231" s="118"/>
      <c r="F231" s="118"/>
      <c r="G231" s="273"/>
      <c r="H231" s="274"/>
    </row>
    <row r="232" spans="4:8" x14ac:dyDescent="0.3">
      <c r="D232" s="118"/>
      <c r="E232" s="118"/>
      <c r="F232" s="118"/>
      <c r="G232" s="273"/>
      <c r="H232" s="274"/>
    </row>
    <row r="233" spans="4:8" x14ac:dyDescent="0.3">
      <c r="D233" s="118"/>
      <c r="E233" s="118"/>
      <c r="F233" s="118"/>
      <c r="G233" s="273"/>
      <c r="H233" s="274"/>
    </row>
    <row r="234" spans="4:8" x14ac:dyDescent="0.3">
      <c r="D234" s="118"/>
      <c r="E234" s="118"/>
      <c r="F234" s="118"/>
      <c r="G234" s="273"/>
      <c r="H234" s="274"/>
    </row>
    <row r="235" spans="4:8" x14ac:dyDescent="0.3">
      <c r="D235" s="118"/>
      <c r="E235" s="118"/>
      <c r="F235" s="118"/>
      <c r="G235" s="273"/>
      <c r="H235" s="274"/>
    </row>
    <row r="236" spans="4:8" x14ac:dyDescent="0.3">
      <c r="D236" s="118"/>
      <c r="E236" s="118"/>
      <c r="F236" s="118"/>
      <c r="G236" s="273"/>
      <c r="H236" s="274"/>
    </row>
    <row r="237" spans="4:8" x14ac:dyDescent="0.3">
      <c r="D237" s="118"/>
      <c r="E237" s="118"/>
      <c r="F237" s="118"/>
      <c r="G237" s="273"/>
      <c r="H237" s="274"/>
    </row>
    <row r="238" spans="4:8" x14ac:dyDescent="0.3">
      <c r="D238" s="118"/>
      <c r="E238" s="118"/>
      <c r="F238" s="118"/>
      <c r="G238" s="273"/>
      <c r="H238" s="274"/>
    </row>
    <row r="239" spans="4:8" x14ac:dyDescent="0.3">
      <c r="D239" s="118"/>
      <c r="E239" s="118"/>
      <c r="F239" s="118"/>
      <c r="G239" s="273"/>
      <c r="H239" s="274"/>
    </row>
    <row r="240" spans="4:8" x14ac:dyDescent="0.3">
      <c r="D240" s="118"/>
      <c r="E240" s="118"/>
      <c r="F240" s="118"/>
      <c r="G240" s="273"/>
      <c r="H240" s="274"/>
    </row>
    <row r="241" spans="4:8" x14ac:dyDescent="0.3">
      <c r="D241" s="118"/>
      <c r="E241" s="118"/>
      <c r="F241" s="118"/>
      <c r="G241" s="273"/>
      <c r="H241" s="274"/>
    </row>
    <row r="242" spans="4:8" x14ac:dyDescent="0.3">
      <c r="D242" s="118"/>
      <c r="E242" s="118"/>
      <c r="F242" s="118"/>
      <c r="G242" s="273"/>
      <c r="H242" s="274"/>
    </row>
    <row r="243" spans="4:8" x14ac:dyDescent="0.3">
      <c r="D243" s="118"/>
      <c r="E243" s="118"/>
      <c r="F243" s="118"/>
      <c r="G243" s="273"/>
      <c r="H243" s="274"/>
    </row>
    <row r="244" spans="4:8" x14ac:dyDescent="0.3">
      <c r="D244" s="118"/>
      <c r="E244" s="118"/>
      <c r="F244" s="118"/>
      <c r="G244" s="273"/>
      <c r="H244" s="274"/>
    </row>
    <row r="245" spans="4:8" x14ac:dyDescent="0.3">
      <c r="D245" s="118"/>
      <c r="E245" s="118"/>
      <c r="F245" s="118"/>
      <c r="G245" s="273"/>
      <c r="H245" s="274"/>
    </row>
    <row r="246" spans="4:8" x14ac:dyDescent="0.3">
      <c r="D246" s="118"/>
      <c r="E246" s="118"/>
      <c r="F246" s="118"/>
      <c r="G246" s="273"/>
      <c r="H246" s="274"/>
    </row>
    <row r="247" spans="4:8" x14ac:dyDescent="0.3">
      <c r="D247" s="118"/>
      <c r="E247" s="118"/>
      <c r="F247" s="118"/>
      <c r="G247" s="273"/>
      <c r="H247" s="274"/>
    </row>
    <row r="248" spans="4:8" x14ac:dyDescent="0.3">
      <c r="D248" s="118"/>
      <c r="E248" s="118"/>
      <c r="F248" s="118"/>
      <c r="G248" s="273"/>
      <c r="H248" s="274"/>
    </row>
    <row r="249" spans="4:8" x14ac:dyDescent="0.3">
      <c r="D249" s="118"/>
      <c r="E249" s="118"/>
      <c r="F249" s="118"/>
      <c r="G249" s="273"/>
      <c r="H249" s="274"/>
    </row>
    <row r="250" spans="4:8" x14ac:dyDescent="0.3">
      <c r="D250" s="118"/>
      <c r="E250" s="118"/>
      <c r="F250" s="118"/>
      <c r="G250" s="273"/>
      <c r="H250" s="274"/>
    </row>
    <row r="251" spans="4:8" x14ac:dyDescent="0.3">
      <c r="D251" s="118"/>
      <c r="E251" s="118"/>
      <c r="F251" s="118"/>
      <c r="G251" s="273"/>
      <c r="H251" s="274"/>
    </row>
    <row r="252" spans="4:8" x14ac:dyDescent="0.3">
      <c r="D252" s="118"/>
      <c r="E252" s="118"/>
      <c r="F252" s="118"/>
      <c r="G252" s="273"/>
      <c r="H252" s="274"/>
    </row>
    <row r="253" spans="4:8" x14ac:dyDescent="0.3">
      <c r="D253" s="118"/>
      <c r="E253" s="118"/>
      <c r="F253" s="118"/>
      <c r="G253" s="273"/>
      <c r="H253" s="274"/>
    </row>
    <row r="254" spans="4:8" x14ac:dyDescent="0.3">
      <c r="D254" s="118"/>
      <c r="E254" s="118"/>
      <c r="F254" s="118"/>
      <c r="G254" s="273"/>
      <c r="H254" s="274"/>
    </row>
    <row r="255" spans="4:8" x14ac:dyDescent="0.3">
      <c r="D255" s="118"/>
      <c r="E255" s="118"/>
      <c r="F255" s="118"/>
      <c r="G255" s="273"/>
      <c r="H255" s="274"/>
    </row>
    <row r="256" spans="4:8" x14ac:dyDescent="0.3">
      <c r="D256" s="118"/>
      <c r="E256" s="118"/>
      <c r="F256" s="118"/>
      <c r="G256" s="273"/>
      <c r="H256" s="274"/>
    </row>
    <row r="257" spans="4:8" x14ac:dyDescent="0.3">
      <c r="D257" s="118"/>
      <c r="E257" s="118"/>
      <c r="F257" s="118"/>
      <c r="G257" s="273"/>
      <c r="H257" s="274"/>
    </row>
    <row r="258" spans="4:8" x14ac:dyDescent="0.3">
      <c r="D258" s="118"/>
      <c r="E258" s="118"/>
      <c r="F258" s="118"/>
      <c r="G258" s="273"/>
      <c r="H258" s="274"/>
    </row>
    <row r="259" spans="4:8" x14ac:dyDescent="0.3">
      <c r="D259" s="118"/>
      <c r="E259" s="118"/>
      <c r="F259" s="118"/>
      <c r="G259" s="273"/>
      <c r="H259" s="274"/>
    </row>
    <row r="260" spans="4:8" x14ac:dyDescent="0.3">
      <c r="D260" s="118"/>
      <c r="E260" s="118"/>
      <c r="F260" s="118"/>
      <c r="G260" s="273"/>
      <c r="H260" s="274"/>
    </row>
    <row r="261" spans="4:8" x14ac:dyDescent="0.3">
      <c r="D261" s="118"/>
      <c r="E261" s="118"/>
      <c r="F261" s="118"/>
      <c r="G261" s="273"/>
      <c r="H261" s="274"/>
    </row>
    <row r="262" spans="4:8" x14ac:dyDescent="0.3">
      <c r="D262" s="118"/>
      <c r="E262" s="118"/>
      <c r="F262" s="118"/>
      <c r="G262" s="273"/>
      <c r="H262" s="274"/>
    </row>
    <row r="263" spans="4:8" x14ac:dyDescent="0.3">
      <c r="D263" s="118"/>
      <c r="E263" s="118"/>
      <c r="F263" s="118"/>
      <c r="G263" s="273"/>
      <c r="H263" s="274"/>
    </row>
    <row r="264" spans="4:8" x14ac:dyDescent="0.3">
      <c r="D264" s="118"/>
      <c r="E264" s="118"/>
      <c r="F264" s="118"/>
      <c r="G264" s="273"/>
      <c r="H264" s="274"/>
    </row>
    <row r="265" spans="4:8" x14ac:dyDescent="0.3">
      <c r="D265" s="118"/>
      <c r="E265" s="118"/>
      <c r="F265" s="118"/>
      <c r="G265" s="273"/>
      <c r="H265" s="274"/>
    </row>
    <row r="266" spans="4:8" x14ac:dyDescent="0.3">
      <c r="D266" s="118"/>
      <c r="E266" s="118"/>
      <c r="F266" s="118"/>
      <c r="G266" s="273"/>
      <c r="H266" s="274"/>
    </row>
    <row r="267" spans="4:8" x14ac:dyDescent="0.3">
      <c r="D267" s="118"/>
      <c r="E267" s="118"/>
      <c r="F267" s="118"/>
      <c r="G267" s="273"/>
      <c r="H267" s="274"/>
    </row>
    <row r="268" spans="4:8" x14ac:dyDescent="0.3">
      <c r="D268" s="118"/>
      <c r="E268" s="118"/>
      <c r="F268" s="118"/>
      <c r="G268" s="273"/>
      <c r="H268" s="274"/>
    </row>
    <row r="269" spans="4:8" x14ac:dyDescent="0.3">
      <c r="D269" s="118"/>
      <c r="E269" s="118"/>
      <c r="F269" s="118"/>
      <c r="G269" s="273"/>
      <c r="H269" s="274"/>
    </row>
    <row r="270" spans="4:8" x14ac:dyDescent="0.3">
      <c r="D270" s="118"/>
      <c r="E270" s="118"/>
      <c r="F270" s="118"/>
      <c r="G270" s="273"/>
      <c r="H270" s="274"/>
    </row>
    <row r="271" spans="4:8" x14ac:dyDescent="0.3">
      <c r="D271" s="118"/>
      <c r="E271" s="118"/>
      <c r="F271" s="118"/>
      <c r="G271" s="273"/>
      <c r="H271" s="274"/>
    </row>
    <row r="272" spans="4:8" x14ac:dyDescent="0.3">
      <c r="D272" s="118"/>
      <c r="E272" s="118"/>
      <c r="F272" s="118"/>
      <c r="G272" s="273"/>
      <c r="H272" s="274"/>
    </row>
    <row r="273" spans="4:8" x14ac:dyDescent="0.3">
      <c r="D273" s="118"/>
      <c r="E273" s="118"/>
      <c r="F273" s="118"/>
      <c r="G273" s="273"/>
      <c r="H273" s="274"/>
    </row>
    <row r="274" spans="4:8" x14ac:dyDescent="0.3">
      <c r="D274" s="118"/>
      <c r="E274" s="118"/>
      <c r="F274" s="118"/>
      <c r="G274" s="273"/>
      <c r="H274" s="274"/>
    </row>
    <row r="275" spans="4:8" x14ac:dyDescent="0.3">
      <c r="D275" s="118"/>
      <c r="E275" s="118"/>
      <c r="F275" s="118"/>
      <c r="G275" s="273"/>
      <c r="H275" s="274"/>
    </row>
    <row r="276" spans="4:8" x14ac:dyDescent="0.3">
      <c r="D276" s="118"/>
      <c r="E276" s="118"/>
      <c r="F276" s="118"/>
      <c r="G276" s="273"/>
      <c r="H276" s="274"/>
    </row>
    <row r="277" spans="4:8" x14ac:dyDescent="0.3">
      <c r="D277" s="118"/>
      <c r="E277" s="118"/>
      <c r="F277" s="118"/>
      <c r="H277" s="274"/>
    </row>
    <row r="278" spans="4:8" x14ac:dyDescent="0.3">
      <c r="D278" s="118"/>
      <c r="E278" s="118"/>
      <c r="F278" s="118"/>
      <c r="H278" s="274"/>
    </row>
    <row r="279" spans="4:8" x14ac:dyDescent="0.3">
      <c r="D279" s="118"/>
      <c r="E279" s="118"/>
      <c r="F279" s="118"/>
      <c r="H279" s="274"/>
    </row>
    <row r="280" spans="4:8" x14ac:dyDescent="0.3">
      <c r="D280" s="118"/>
      <c r="E280" s="118"/>
      <c r="F280" s="118"/>
      <c r="H280" s="274"/>
    </row>
    <row r="281" spans="4:8" x14ac:dyDescent="0.3">
      <c r="D281" s="118"/>
      <c r="E281" s="118"/>
      <c r="F281" s="118"/>
      <c r="H281" s="274"/>
    </row>
    <row r="282" spans="4:8" x14ac:dyDescent="0.3">
      <c r="D282" s="118"/>
      <c r="E282" s="118"/>
      <c r="F282" s="118"/>
      <c r="H282" s="274"/>
    </row>
    <row r="283" spans="4:8" x14ac:dyDescent="0.3">
      <c r="D283" s="118"/>
      <c r="E283" s="118"/>
      <c r="F283" s="118"/>
      <c r="H283" s="274"/>
    </row>
    <row r="284" spans="4:8" x14ac:dyDescent="0.3">
      <c r="D284" s="118"/>
      <c r="E284" s="118"/>
      <c r="F284" s="118"/>
      <c r="H284" s="274"/>
    </row>
    <row r="285" spans="4:8" x14ac:dyDescent="0.3">
      <c r="D285" s="118"/>
      <c r="E285" s="118"/>
      <c r="F285" s="118"/>
      <c r="H285" s="274"/>
    </row>
    <row r="286" spans="4:8" x14ac:dyDescent="0.3">
      <c r="D286" s="118"/>
      <c r="E286" s="118"/>
      <c r="F286" s="118"/>
      <c r="H286" s="274"/>
    </row>
    <row r="287" spans="4:8" x14ac:dyDescent="0.3">
      <c r="D287" s="118"/>
      <c r="E287" s="118"/>
      <c r="F287" s="118"/>
      <c r="H287" s="274"/>
    </row>
    <row r="288" spans="4:8" x14ac:dyDescent="0.3">
      <c r="D288" s="118"/>
      <c r="E288" s="118"/>
      <c r="F288" s="118"/>
      <c r="H288" s="274"/>
    </row>
    <row r="289" spans="4:8" x14ac:dyDescent="0.3">
      <c r="D289" s="118"/>
      <c r="E289" s="118"/>
      <c r="F289" s="118"/>
      <c r="H289" s="274"/>
    </row>
    <row r="290" spans="4:8" x14ac:dyDescent="0.3">
      <c r="D290" s="118"/>
      <c r="E290" s="118"/>
      <c r="F290" s="118"/>
      <c r="H290" s="274"/>
    </row>
    <row r="291" spans="4:8" x14ac:dyDescent="0.3">
      <c r="D291" s="118"/>
      <c r="E291" s="118"/>
      <c r="F291" s="118"/>
      <c r="H291" s="274"/>
    </row>
    <row r="292" spans="4:8" x14ac:dyDescent="0.3">
      <c r="D292" s="118"/>
      <c r="E292" s="118"/>
      <c r="F292" s="118"/>
      <c r="H292" s="274"/>
    </row>
    <row r="293" spans="4:8" x14ac:dyDescent="0.3">
      <c r="D293" s="118"/>
      <c r="E293" s="118"/>
      <c r="F293" s="118"/>
      <c r="H293" s="274"/>
    </row>
    <row r="294" spans="4:8" x14ac:dyDescent="0.3">
      <c r="D294" s="118"/>
      <c r="E294" s="118"/>
      <c r="F294" s="118"/>
      <c r="H294" s="274"/>
    </row>
    <row r="295" spans="4:8" x14ac:dyDescent="0.3">
      <c r="D295" s="118"/>
      <c r="E295" s="118"/>
      <c r="F295" s="118"/>
      <c r="H295" s="274"/>
    </row>
    <row r="296" spans="4:8" x14ac:dyDescent="0.3">
      <c r="D296" s="118"/>
      <c r="E296" s="118"/>
      <c r="F296" s="118"/>
      <c r="H296" s="274"/>
    </row>
    <row r="297" spans="4:8" x14ac:dyDescent="0.3">
      <c r="D297" s="118"/>
      <c r="E297" s="118"/>
      <c r="F297" s="118"/>
      <c r="H297" s="274"/>
    </row>
    <row r="298" spans="4:8" x14ac:dyDescent="0.3">
      <c r="D298" s="118"/>
      <c r="E298" s="118"/>
      <c r="F298" s="118"/>
      <c r="H298" s="274"/>
    </row>
    <row r="299" spans="4:8" x14ac:dyDescent="0.3">
      <c r="D299" s="118"/>
      <c r="E299" s="118"/>
      <c r="F299" s="118"/>
      <c r="H299" s="274"/>
    </row>
    <row r="300" spans="4:8" x14ac:dyDescent="0.3">
      <c r="D300" s="118"/>
      <c r="E300" s="118"/>
      <c r="F300" s="118"/>
      <c r="H300" s="274"/>
    </row>
    <row r="301" spans="4:8" x14ac:dyDescent="0.3">
      <c r="D301" s="118"/>
      <c r="E301" s="118"/>
      <c r="F301" s="118"/>
      <c r="H301" s="274"/>
    </row>
    <row r="302" spans="4:8" x14ac:dyDescent="0.3">
      <c r="D302" s="118"/>
      <c r="E302" s="118"/>
      <c r="F302" s="118"/>
      <c r="H302" s="274"/>
    </row>
    <row r="303" spans="4:8" x14ac:dyDescent="0.3">
      <c r="D303" s="118"/>
      <c r="E303" s="118"/>
      <c r="F303" s="118"/>
      <c r="H303" s="274"/>
    </row>
    <row r="304" spans="4:8" x14ac:dyDescent="0.3">
      <c r="D304" s="118"/>
      <c r="E304" s="118"/>
      <c r="F304" s="118"/>
      <c r="H304" s="274"/>
    </row>
    <row r="305" spans="4:8" x14ac:dyDescent="0.3">
      <c r="D305" s="118"/>
      <c r="E305" s="118"/>
      <c r="F305" s="118"/>
      <c r="H305" s="274"/>
    </row>
    <row r="306" spans="4:8" x14ac:dyDescent="0.3">
      <c r="D306" s="118"/>
      <c r="E306" s="118"/>
      <c r="F306" s="118"/>
      <c r="H306" s="274"/>
    </row>
    <row r="307" spans="4:8" x14ac:dyDescent="0.3">
      <c r="D307" s="118"/>
      <c r="E307" s="118"/>
      <c r="F307" s="118"/>
      <c r="H307" s="274"/>
    </row>
    <row r="308" spans="4:8" x14ac:dyDescent="0.3">
      <c r="D308" s="118"/>
      <c r="E308" s="118"/>
      <c r="F308" s="118"/>
      <c r="H308" s="274"/>
    </row>
    <row r="309" spans="4:8" x14ac:dyDescent="0.3">
      <c r="D309" s="118"/>
      <c r="E309" s="118"/>
      <c r="F309" s="118"/>
      <c r="H309" s="274"/>
    </row>
    <row r="310" spans="4:8" x14ac:dyDescent="0.3">
      <c r="D310" s="118"/>
      <c r="E310" s="118"/>
      <c r="F310" s="118"/>
      <c r="H310" s="274"/>
    </row>
    <row r="311" spans="4:8" x14ac:dyDescent="0.3">
      <c r="D311" s="118"/>
      <c r="E311" s="118"/>
      <c r="F311" s="118"/>
      <c r="H311" s="274"/>
    </row>
    <row r="312" spans="4:8" x14ac:dyDescent="0.3">
      <c r="D312" s="118"/>
      <c r="E312" s="118"/>
      <c r="F312" s="118"/>
      <c r="H312" s="274"/>
    </row>
    <row r="313" spans="4:8" x14ac:dyDescent="0.3">
      <c r="D313" s="118"/>
      <c r="E313" s="118"/>
      <c r="F313" s="118"/>
      <c r="H313" s="274"/>
    </row>
    <row r="314" spans="4:8" x14ac:dyDescent="0.3">
      <c r="D314" s="118"/>
      <c r="E314" s="118"/>
      <c r="F314" s="118"/>
      <c r="H314" s="274"/>
    </row>
    <row r="315" spans="4:8" x14ac:dyDescent="0.3">
      <c r="D315" s="118"/>
      <c r="E315" s="118"/>
      <c r="F315" s="118"/>
      <c r="H315" s="274"/>
    </row>
    <row r="316" spans="4:8" x14ac:dyDescent="0.3">
      <c r="D316" s="118"/>
      <c r="E316" s="118"/>
      <c r="F316" s="118"/>
      <c r="H316" s="274"/>
    </row>
    <row r="317" spans="4:8" x14ac:dyDescent="0.3">
      <c r="D317" s="118"/>
      <c r="E317" s="118"/>
      <c r="F317" s="118"/>
      <c r="H317" s="274"/>
    </row>
    <row r="318" spans="4:8" x14ac:dyDescent="0.3">
      <c r="D318" s="118"/>
      <c r="E318" s="118"/>
      <c r="F318" s="118"/>
      <c r="H318" s="274"/>
    </row>
    <row r="319" spans="4:8" x14ac:dyDescent="0.3">
      <c r="D319" s="118"/>
      <c r="E319" s="118"/>
      <c r="F319" s="118"/>
      <c r="H319" s="274"/>
    </row>
    <row r="320" spans="4:8" x14ac:dyDescent="0.3">
      <c r="D320" s="118"/>
      <c r="E320" s="118"/>
      <c r="F320" s="118"/>
      <c r="H320" s="274"/>
    </row>
    <row r="321" spans="4:8" x14ac:dyDescent="0.3">
      <c r="D321" s="118"/>
      <c r="E321" s="118"/>
      <c r="F321" s="118"/>
      <c r="H321" s="274"/>
    </row>
    <row r="322" spans="4:8" x14ac:dyDescent="0.3">
      <c r="D322" s="118"/>
      <c r="E322" s="118"/>
      <c r="F322" s="118"/>
      <c r="H322" s="274"/>
    </row>
    <row r="323" spans="4:8" x14ac:dyDescent="0.3">
      <c r="D323" s="118"/>
      <c r="E323" s="118"/>
      <c r="F323" s="118"/>
      <c r="H323" s="274"/>
    </row>
    <row r="324" spans="4:8" x14ac:dyDescent="0.3">
      <c r="D324" s="118"/>
      <c r="E324" s="118"/>
      <c r="F324" s="118"/>
      <c r="H324" s="274"/>
    </row>
    <row r="325" spans="4:8" x14ac:dyDescent="0.3">
      <c r="D325" s="118"/>
      <c r="E325" s="118"/>
      <c r="F325" s="118"/>
      <c r="H325" s="274"/>
    </row>
    <row r="326" spans="4:8" x14ac:dyDescent="0.3">
      <c r="D326" s="118"/>
      <c r="E326" s="118"/>
      <c r="F326" s="118"/>
      <c r="H326" s="274"/>
    </row>
    <row r="327" spans="4:8" x14ac:dyDescent="0.3">
      <c r="D327" s="118"/>
      <c r="E327" s="118"/>
      <c r="F327" s="118"/>
      <c r="H327" s="274"/>
    </row>
    <row r="328" spans="4:8" x14ac:dyDescent="0.3">
      <c r="D328" s="118"/>
      <c r="E328" s="118"/>
      <c r="F328" s="118"/>
      <c r="H328" s="274"/>
    </row>
    <row r="329" spans="4:8" x14ac:dyDescent="0.3">
      <c r="D329" s="118"/>
      <c r="E329" s="118"/>
      <c r="F329" s="118"/>
      <c r="H329" s="274"/>
    </row>
    <row r="330" spans="4:8" x14ac:dyDescent="0.3">
      <c r="D330" s="118"/>
      <c r="E330" s="118"/>
      <c r="F330" s="118"/>
      <c r="H330" s="274"/>
    </row>
    <row r="331" spans="4:8" x14ac:dyDescent="0.3">
      <c r="D331" s="118"/>
      <c r="E331" s="118"/>
      <c r="F331" s="118"/>
      <c r="H331" s="274"/>
    </row>
    <row r="332" spans="4:8" x14ac:dyDescent="0.3">
      <c r="D332" s="118"/>
      <c r="E332" s="118"/>
      <c r="F332" s="118"/>
    </row>
    <row r="333" spans="4:8" x14ac:dyDescent="0.3">
      <c r="D333" s="118"/>
      <c r="E333" s="118"/>
      <c r="F333" s="118"/>
    </row>
    <row r="334" spans="4:8" x14ac:dyDescent="0.3">
      <c r="D334" s="118"/>
      <c r="E334" s="118"/>
      <c r="F334" s="118"/>
    </row>
    <row r="335" spans="4:8" x14ac:dyDescent="0.3">
      <c r="D335" s="118"/>
      <c r="E335" s="118"/>
      <c r="F335" s="118"/>
    </row>
    <row r="336" spans="4:8" x14ac:dyDescent="0.3">
      <c r="D336" s="118"/>
      <c r="E336" s="118"/>
      <c r="F336" s="118"/>
    </row>
    <row r="337" spans="4:6" x14ac:dyDescent="0.3">
      <c r="D337" s="118"/>
      <c r="E337" s="118"/>
      <c r="F337" s="118"/>
    </row>
    <row r="338" spans="4:6" x14ac:dyDescent="0.3">
      <c r="D338" s="118"/>
      <c r="E338" s="118"/>
      <c r="F338" s="118"/>
    </row>
    <row r="339" spans="4:6" x14ac:dyDescent="0.3">
      <c r="D339" s="118"/>
      <c r="E339" s="118"/>
      <c r="F339" s="118"/>
    </row>
  </sheetData>
  <mergeCells count="5">
    <mergeCell ref="A3:I3"/>
    <mergeCell ref="A1:I1"/>
    <mergeCell ref="A2:I2"/>
    <mergeCell ref="A4:I4"/>
    <mergeCell ref="D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AA4C-1EE8-471E-9B4B-250CF443E18E}">
  <dimension ref="A1:F125"/>
  <sheetViews>
    <sheetView topLeftCell="B87" workbookViewId="0">
      <selection activeCell="G103" sqref="G103"/>
    </sheetView>
  </sheetViews>
  <sheetFormatPr defaultRowHeight="14" x14ac:dyDescent="0.3"/>
  <cols>
    <col min="1" max="1" width="7.8984375" style="25" customWidth="1"/>
    <col min="2" max="2" width="28.09765625" customWidth="1"/>
    <col min="3" max="3" width="15.69921875" bestFit="1" customWidth="1"/>
    <col min="4" max="4" width="35" bestFit="1" customWidth="1"/>
    <col min="5" max="5" width="38.69921875" customWidth="1"/>
    <col min="6" max="6" width="14.8984375" customWidth="1"/>
    <col min="8" max="8" width="6.3984375" bestFit="1" customWidth="1"/>
  </cols>
  <sheetData>
    <row r="1" spans="1:6" x14ac:dyDescent="0.3">
      <c r="A1" s="359" t="s">
        <v>327</v>
      </c>
      <c r="B1" s="360" t="s">
        <v>328</v>
      </c>
      <c r="C1" s="361" t="s">
        <v>120</v>
      </c>
      <c r="D1" s="361" t="s">
        <v>329</v>
      </c>
      <c r="E1" s="361" t="s">
        <v>330</v>
      </c>
      <c r="F1" s="362" t="s">
        <v>331</v>
      </c>
    </row>
    <row r="2" spans="1:6" x14ac:dyDescent="0.3">
      <c r="A2" s="359">
        <v>1</v>
      </c>
      <c r="B2" s="363" t="s">
        <v>332</v>
      </c>
      <c r="C2" s="363" t="s">
        <v>333</v>
      </c>
      <c r="D2" s="363" t="s">
        <v>334</v>
      </c>
      <c r="E2" s="363" t="s">
        <v>335</v>
      </c>
      <c r="F2" s="376">
        <v>92500</v>
      </c>
    </row>
    <row r="3" spans="1:6" x14ac:dyDescent="0.3">
      <c r="A3" s="359">
        <v>2</v>
      </c>
      <c r="B3" s="364" t="s">
        <v>336</v>
      </c>
      <c r="C3" s="364" t="s">
        <v>337</v>
      </c>
      <c r="D3" s="364" t="s">
        <v>334</v>
      </c>
      <c r="E3" s="364" t="s">
        <v>335</v>
      </c>
      <c r="F3" s="377">
        <v>80000</v>
      </c>
    </row>
    <row r="4" spans="1:6" x14ac:dyDescent="0.3">
      <c r="A4" s="359">
        <v>3</v>
      </c>
      <c r="B4" s="363" t="s">
        <v>338</v>
      </c>
      <c r="C4" s="363" t="s">
        <v>337</v>
      </c>
      <c r="D4" s="363" t="s">
        <v>334</v>
      </c>
      <c r="E4" s="363" t="s">
        <v>339</v>
      </c>
      <c r="F4" s="376">
        <v>101106.6</v>
      </c>
    </row>
    <row r="5" spans="1:6" x14ac:dyDescent="0.3">
      <c r="A5" s="359">
        <v>4</v>
      </c>
      <c r="B5" s="363" t="s">
        <v>340</v>
      </c>
      <c r="C5" s="363" t="s">
        <v>337</v>
      </c>
      <c r="D5" s="363" t="s">
        <v>334</v>
      </c>
      <c r="E5" s="363" t="s">
        <v>335</v>
      </c>
      <c r="F5" s="376">
        <v>87500</v>
      </c>
    </row>
    <row r="6" spans="1:6" x14ac:dyDescent="0.3">
      <c r="A6" s="359">
        <v>5</v>
      </c>
      <c r="B6" s="363" t="s">
        <v>341</v>
      </c>
      <c r="C6" s="363" t="s">
        <v>337</v>
      </c>
      <c r="D6" s="363" t="s">
        <v>334</v>
      </c>
      <c r="E6" s="363" t="s">
        <v>342</v>
      </c>
      <c r="F6" s="377">
        <v>84500</v>
      </c>
    </row>
    <row r="7" spans="1:6" x14ac:dyDescent="0.3">
      <c r="A7" s="359">
        <v>6</v>
      </c>
      <c r="B7" s="363" t="s">
        <v>343</v>
      </c>
      <c r="C7" s="363" t="s">
        <v>337</v>
      </c>
      <c r="D7" s="363" t="s">
        <v>334</v>
      </c>
      <c r="E7" s="363" t="s">
        <v>344</v>
      </c>
      <c r="F7" s="376">
        <v>123247.95</v>
      </c>
    </row>
    <row r="8" spans="1:6" x14ac:dyDescent="0.3">
      <c r="A8" s="359">
        <v>7</v>
      </c>
      <c r="B8" s="364" t="s">
        <v>345</v>
      </c>
      <c r="C8" s="364" t="s">
        <v>337</v>
      </c>
      <c r="D8" s="364" t="s">
        <v>334</v>
      </c>
      <c r="E8" s="364" t="s">
        <v>346</v>
      </c>
      <c r="F8" s="377">
        <v>80000</v>
      </c>
    </row>
    <row r="9" spans="1:6" x14ac:dyDescent="0.3">
      <c r="A9" s="359">
        <v>8</v>
      </c>
      <c r="B9" s="365" t="s">
        <v>347</v>
      </c>
      <c r="C9" s="365" t="s">
        <v>333</v>
      </c>
      <c r="D9" s="365" t="s">
        <v>348</v>
      </c>
      <c r="E9" s="365" t="s">
        <v>349</v>
      </c>
      <c r="F9" s="376">
        <v>45000</v>
      </c>
    </row>
    <row r="10" spans="1:6" x14ac:dyDescent="0.3">
      <c r="A10" s="359">
        <v>9</v>
      </c>
      <c r="B10" s="365" t="s">
        <v>350</v>
      </c>
      <c r="C10" s="365" t="s">
        <v>333</v>
      </c>
      <c r="D10" s="365" t="s">
        <v>348</v>
      </c>
      <c r="E10" s="365" t="s">
        <v>349</v>
      </c>
      <c r="F10" s="376">
        <v>42500</v>
      </c>
    </row>
    <row r="11" spans="1:6" x14ac:dyDescent="0.3">
      <c r="A11" s="359">
        <v>10</v>
      </c>
      <c r="B11" s="365" t="s">
        <v>351</v>
      </c>
      <c r="C11" s="365" t="s">
        <v>333</v>
      </c>
      <c r="D11" s="365" t="s">
        <v>348</v>
      </c>
      <c r="E11" s="365" t="s">
        <v>352</v>
      </c>
      <c r="F11" s="376">
        <v>43824.9</v>
      </c>
    </row>
    <row r="12" spans="1:6" x14ac:dyDescent="0.3">
      <c r="A12" s="359">
        <v>11</v>
      </c>
      <c r="B12" s="365" t="s">
        <v>353</v>
      </c>
      <c r="C12" s="365" t="s">
        <v>333</v>
      </c>
      <c r="D12" s="365" t="s">
        <v>354</v>
      </c>
      <c r="E12" s="365" t="s">
        <v>355</v>
      </c>
      <c r="F12" s="376">
        <v>40320</v>
      </c>
    </row>
    <row r="13" spans="1:6" x14ac:dyDescent="0.3">
      <c r="A13" s="359">
        <v>12</v>
      </c>
      <c r="B13" s="366" t="s">
        <v>356</v>
      </c>
      <c r="C13" s="366" t="s">
        <v>333</v>
      </c>
      <c r="D13" s="366" t="s">
        <v>354</v>
      </c>
      <c r="E13" s="366" t="s">
        <v>357</v>
      </c>
      <c r="F13" s="376">
        <v>106039</v>
      </c>
    </row>
    <row r="14" spans="1:6" x14ac:dyDescent="0.3">
      <c r="A14" s="359">
        <v>13</v>
      </c>
      <c r="B14" s="366" t="s">
        <v>358</v>
      </c>
      <c r="C14" s="366" t="s">
        <v>333</v>
      </c>
      <c r="D14" s="366" t="s">
        <v>354</v>
      </c>
      <c r="E14" s="366" t="s">
        <v>359</v>
      </c>
      <c r="F14" s="376">
        <v>103038</v>
      </c>
    </row>
    <row r="15" spans="1:6" x14ac:dyDescent="0.3">
      <c r="A15" s="359">
        <v>14</v>
      </c>
      <c r="B15" s="367" t="s">
        <v>360</v>
      </c>
      <c r="C15" s="368" t="s">
        <v>333</v>
      </c>
      <c r="D15" s="368" t="s">
        <v>361</v>
      </c>
      <c r="E15" s="368" t="s">
        <v>362</v>
      </c>
      <c r="F15" s="377">
        <v>80000</v>
      </c>
    </row>
    <row r="16" spans="1:6" x14ac:dyDescent="0.3">
      <c r="A16" s="359">
        <v>15</v>
      </c>
      <c r="B16" s="366" t="s">
        <v>363</v>
      </c>
      <c r="C16" s="366" t="s">
        <v>333</v>
      </c>
      <c r="D16" s="366" t="s">
        <v>364</v>
      </c>
      <c r="E16" s="366" t="s">
        <v>365</v>
      </c>
      <c r="F16" s="376">
        <v>75248</v>
      </c>
    </row>
    <row r="17" spans="1:6" x14ac:dyDescent="0.3">
      <c r="A17" s="359">
        <v>16</v>
      </c>
      <c r="B17" s="366" t="s">
        <v>366</v>
      </c>
      <c r="C17" s="366" t="s">
        <v>333</v>
      </c>
      <c r="D17" s="366" t="s">
        <v>361</v>
      </c>
      <c r="E17" s="366" t="s">
        <v>367</v>
      </c>
      <c r="F17" s="376">
        <v>92978</v>
      </c>
    </row>
    <row r="18" spans="1:6" x14ac:dyDescent="0.3">
      <c r="A18" s="359">
        <v>17</v>
      </c>
      <c r="B18" s="366" t="s">
        <v>368</v>
      </c>
      <c r="C18" s="366" t="s">
        <v>333</v>
      </c>
      <c r="D18" s="366" t="s">
        <v>354</v>
      </c>
      <c r="E18" s="366" t="s">
        <v>369</v>
      </c>
      <c r="F18" s="376">
        <v>132194</v>
      </c>
    </row>
    <row r="19" spans="1:6" x14ac:dyDescent="0.3">
      <c r="A19" s="359">
        <v>18</v>
      </c>
      <c r="B19" s="367" t="s">
        <v>370</v>
      </c>
      <c r="C19" s="368" t="s">
        <v>333</v>
      </c>
      <c r="D19" s="368" t="s">
        <v>354</v>
      </c>
      <c r="E19" s="368" t="s">
        <v>371</v>
      </c>
      <c r="F19" s="377">
        <v>80000</v>
      </c>
    </row>
    <row r="20" spans="1:6" x14ac:dyDescent="0.3">
      <c r="A20" s="359">
        <v>19</v>
      </c>
      <c r="B20" s="366" t="s">
        <v>372</v>
      </c>
      <c r="C20" s="366" t="s">
        <v>333</v>
      </c>
      <c r="D20" s="366" t="s">
        <v>354</v>
      </c>
      <c r="E20" s="366" t="s">
        <v>373</v>
      </c>
      <c r="F20" s="376">
        <v>86229</v>
      </c>
    </row>
    <row r="21" spans="1:6" x14ac:dyDescent="0.3">
      <c r="A21" s="359">
        <v>20</v>
      </c>
      <c r="B21" s="366" t="s">
        <v>374</v>
      </c>
      <c r="C21" s="366" t="s">
        <v>333</v>
      </c>
      <c r="D21" s="366" t="s">
        <v>354</v>
      </c>
      <c r="E21" s="366" t="s">
        <v>375</v>
      </c>
      <c r="F21" s="376">
        <v>102342</v>
      </c>
    </row>
    <row r="22" spans="1:6" x14ac:dyDescent="0.3">
      <c r="A22" s="359">
        <v>21</v>
      </c>
      <c r="B22" s="366" t="s">
        <v>376</v>
      </c>
      <c r="C22" s="366" t="s">
        <v>333</v>
      </c>
      <c r="D22" s="366" t="s">
        <v>354</v>
      </c>
      <c r="E22" s="366" t="s">
        <v>375</v>
      </c>
      <c r="F22" s="376">
        <v>91319</v>
      </c>
    </row>
    <row r="23" spans="1:6" x14ac:dyDescent="0.3">
      <c r="A23" s="359">
        <v>22</v>
      </c>
      <c r="B23" s="366" t="s">
        <v>377</v>
      </c>
      <c r="C23" s="366" t="s">
        <v>333</v>
      </c>
      <c r="D23" s="366" t="s">
        <v>364</v>
      </c>
      <c r="E23" s="366" t="s">
        <v>378</v>
      </c>
      <c r="F23" s="376">
        <v>101688</v>
      </c>
    </row>
    <row r="24" spans="1:6" x14ac:dyDescent="0.3">
      <c r="A24" s="359">
        <v>23</v>
      </c>
      <c r="B24" s="366" t="s">
        <v>379</v>
      </c>
      <c r="C24" s="366" t="s">
        <v>333</v>
      </c>
      <c r="D24" s="366" t="s">
        <v>354</v>
      </c>
      <c r="E24" s="366" t="s">
        <v>380</v>
      </c>
      <c r="F24" s="376">
        <v>65556</v>
      </c>
    </row>
    <row r="25" spans="1:6" x14ac:dyDescent="0.3">
      <c r="A25" s="359">
        <v>24</v>
      </c>
      <c r="B25" s="366" t="s">
        <v>381</v>
      </c>
      <c r="C25" s="366" t="s">
        <v>333</v>
      </c>
      <c r="D25" s="366" t="s">
        <v>354</v>
      </c>
      <c r="E25" s="366" t="s">
        <v>382</v>
      </c>
      <c r="F25" s="378">
        <v>86229</v>
      </c>
    </row>
    <row r="26" spans="1:6" x14ac:dyDescent="0.3">
      <c r="A26" s="359">
        <v>25</v>
      </c>
      <c r="B26" s="366" t="s">
        <v>383</v>
      </c>
      <c r="C26" s="366" t="s">
        <v>333</v>
      </c>
      <c r="D26" s="366" t="s">
        <v>364</v>
      </c>
      <c r="E26" s="366" t="s">
        <v>384</v>
      </c>
      <c r="F26" s="376">
        <v>75347</v>
      </c>
    </row>
    <row r="27" spans="1:6" x14ac:dyDescent="0.3">
      <c r="A27" s="359">
        <v>26</v>
      </c>
      <c r="B27" s="366" t="s">
        <v>385</v>
      </c>
      <c r="C27" s="366" t="s">
        <v>333</v>
      </c>
      <c r="D27" s="366" t="s">
        <v>354</v>
      </c>
      <c r="E27" s="366" t="s">
        <v>386</v>
      </c>
      <c r="F27" s="376">
        <v>70343</v>
      </c>
    </row>
    <row r="28" spans="1:6" x14ac:dyDescent="0.3">
      <c r="A28" s="359">
        <v>27</v>
      </c>
      <c r="B28" s="366" t="s">
        <v>387</v>
      </c>
      <c r="C28" s="366" t="s">
        <v>333</v>
      </c>
      <c r="D28" s="366" t="s">
        <v>334</v>
      </c>
      <c r="E28" s="366" t="s">
        <v>388</v>
      </c>
      <c r="F28" s="376">
        <v>76770.75</v>
      </c>
    </row>
    <row r="29" spans="1:6" x14ac:dyDescent="0.3">
      <c r="A29" s="359">
        <v>28</v>
      </c>
      <c r="B29" s="366" t="s">
        <v>389</v>
      </c>
      <c r="C29" s="366" t="s">
        <v>333</v>
      </c>
      <c r="D29" s="366" t="s">
        <v>354</v>
      </c>
      <c r="E29" s="366" t="s">
        <v>390</v>
      </c>
      <c r="F29" s="376">
        <v>117821</v>
      </c>
    </row>
    <row r="30" spans="1:6" x14ac:dyDescent="0.3">
      <c r="A30" s="359">
        <v>29</v>
      </c>
      <c r="B30" s="366" t="s">
        <v>391</v>
      </c>
      <c r="C30" s="366" t="s">
        <v>333</v>
      </c>
      <c r="D30" s="366" t="s">
        <v>354</v>
      </c>
      <c r="E30" s="366" t="s">
        <v>392</v>
      </c>
      <c r="F30" s="376">
        <v>114822</v>
      </c>
    </row>
    <row r="31" spans="1:6" x14ac:dyDescent="0.3">
      <c r="A31" s="359">
        <v>30</v>
      </c>
      <c r="B31" s="366" t="s">
        <v>393</v>
      </c>
      <c r="C31" s="366" t="s">
        <v>333</v>
      </c>
      <c r="D31" s="366" t="s">
        <v>354</v>
      </c>
      <c r="E31" s="366" t="s">
        <v>394</v>
      </c>
      <c r="F31" s="376">
        <v>83719</v>
      </c>
    </row>
    <row r="32" spans="1:6" x14ac:dyDescent="0.3">
      <c r="A32" s="359">
        <v>31</v>
      </c>
      <c r="B32" s="369" t="s">
        <v>395</v>
      </c>
      <c r="C32" s="369" t="s">
        <v>333</v>
      </c>
      <c r="D32" s="369" t="s">
        <v>486</v>
      </c>
      <c r="E32" s="369" t="s">
        <v>396</v>
      </c>
      <c r="F32" s="377">
        <v>161500</v>
      </c>
    </row>
    <row r="33" spans="1:6" x14ac:dyDescent="0.3">
      <c r="A33" s="359">
        <v>32</v>
      </c>
      <c r="B33" s="366" t="s">
        <v>397</v>
      </c>
      <c r="C33" s="366" t="s">
        <v>333</v>
      </c>
      <c r="D33" s="366" t="s">
        <v>354</v>
      </c>
      <c r="E33" s="366" t="s">
        <v>398</v>
      </c>
      <c r="F33" s="376">
        <v>70925</v>
      </c>
    </row>
    <row r="34" spans="1:6" x14ac:dyDescent="0.3">
      <c r="A34" s="359">
        <v>33</v>
      </c>
      <c r="B34" s="366" t="s">
        <v>399</v>
      </c>
      <c r="C34" s="366" t="s">
        <v>333</v>
      </c>
      <c r="D34" s="366" t="s">
        <v>354</v>
      </c>
      <c r="E34" s="366" t="s">
        <v>357</v>
      </c>
      <c r="F34" s="376">
        <v>91319</v>
      </c>
    </row>
    <row r="35" spans="1:6" x14ac:dyDescent="0.3">
      <c r="A35" s="359">
        <v>34</v>
      </c>
      <c r="B35" s="366" t="s">
        <v>400</v>
      </c>
      <c r="C35" s="366" t="s">
        <v>333</v>
      </c>
      <c r="D35" s="366" t="s">
        <v>354</v>
      </c>
      <c r="E35" s="366" t="s">
        <v>401</v>
      </c>
      <c r="F35" s="376">
        <v>72840</v>
      </c>
    </row>
    <row r="36" spans="1:6" x14ac:dyDescent="0.3">
      <c r="A36" s="359">
        <v>35</v>
      </c>
      <c r="B36" s="366" t="s">
        <v>402</v>
      </c>
      <c r="C36" s="366" t="s">
        <v>333</v>
      </c>
      <c r="D36" s="366" t="s">
        <v>403</v>
      </c>
      <c r="E36" s="366" t="s">
        <v>404</v>
      </c>
      <c r="F36" s="376">
        <v>107562</v>
      </c>
    </row>
    <row r="37" spans="1:6" x14ac:dyDescent="0.3">
      <c r="A37" s="359">
        <v>36</v>
      </c>
      <c r="B37" s="366" t="s">
        <v>405</v>
      </c>
      <c r="C37" s="366" t="s">
        <v>333</v>
      </c>
      <c r="D37" s="366" t="s">
        <v>361</v>
      </c>
      <c r="E37" s="366" t="s">
        <v>406</v>
      </c>
      <c r="F37" s="376">
        <v>103038</v>
      </c>
    </row>
    <row r="38" spans="1:6" x14ac:dyDescent="0.3">
      <c r="A38" s="359">
        <v>37</v>
      </c>
      <c r="B38" s="366" t="s">
        <v>407</v>
      </c>
      <c r="C38" s="366" t="s">
        <v>333</v>
      </c>
      <c r="D38" s="366" t="s">
        <v>354</v>
      </c>
      <c r="E38" s="366" t="s">
        <v>408</v>
      </c>
      <c r="F38" s="376">
        <v>82829</v>
      </c>
    </row>
    <row r="39" spans="1:6" x14ac:dyDescent="0.3">
      <c r="A39" s="359">
        <v>38</v>
      </c>
      <c r="B39" s="366" t="s">
        <v>409</v>
      </c>
      <c r="C39" s="366" t="s">
        <v>333</v>
      </c>
      <c r="D39" s="366" t="s">
        <v>361</v>
      </c>
      <c r="E39" s="366" t="s">
        <v>410</v>
      </c>
      <c r="F39" s="376">
        <v>101688</v>
      </c>
    </row>
    <row r="40" spans="1:6" x14ac:dyDescent="0.3">
      <c r="A40" s="359">
        <v>39</v>
      </c>
      <c r="B40" s="367" t="s">
        <v>411</v>
      </c>
      <c r="C40" s="368" t="s">
        <v>333</v>
      </c>
      <c r="D40" s="368" t="s">
        <v>354</v>
      </c>
      <c r="E40" s="368" t="s">
        <v>412</v>
      </c>
      <c r="F40" s="377">
        <v>80000</v>
      </c>
    </row>
    <row r="41" spans="1:6" x14ac:dyDescent="0.3">
      <c r="A41" s="359">
        <v>40</v>
      </c>
      <c r="B41" s="367" t="s">
        <v>413</v>
      </c>
      <c r="C41" s="368" t="s">
        <v>333</v>
      </c>
      <c r="D41" s="368" t="s">
        <v>354</v>
      </c>
      <c r="E41" s="368" t="s">
        <v>369</v>
      </c>
      <c r="F41" s="377">
        <v>80000</v>
      </c>
    </row>
    <row r="42" spans="1:6" x14ac:dyDescent="0.3">
      <c r="A42" s="359">
        <v>41</v>
      </c>
      <c r="B42" s="366" t="s">
        <v>414</v>
      </c>
      <c r="C42" s="366" t="s">
        <v>333</v>
      </c>
      <c r="D42" s="366" t="s">
        <v>354</v>
      </c>
      <c r="E42" s="366" t="s">
        <v>415</v>
      </c>
      <c r="F42" s="376">
        <v>126013</v>
      </c>
    </row>
    <row r="43" spans="1:6" x14ac:dyDescent="0.3">
      <c r="A43" s="359">
        <v>42</v>
      </c>
      <c r="B43" s="366" t="s">
        <v>416</v>
      </c>
      <c r="C43" s="366" t="s">
        <v>333</v>
      </c>
      <c r="D43" s="366" t="s">
        <v>354</v>
      </c>
      <c r="E43" s="366" t="s">
        <v>417</v>
      </c>
      <c r="F43" s="376">
        <v>86229</v>
      </c>
    </row>
    <row r="44" spans="1:6" x14ac:dyDescent="0.3">
      <c r="A44" s="359">
        <v>43</v>
      </c>
      <c r="B44" s="366" t="s">
        <v>418</v>
      </c>
      <c r="C44" s="366" t="s">
        <v>333</v>
      </c>
      <c r="D44" s="366" t="s">
        <v>354</v>
      </c>
      <c r="E44" s="366" t="s">
        <v>357</v>
      </c>
      <c r="F44" s="376">
        <v>82829</v>
      </c>
    </row>
    <row r="45" spans="1:6" x14ac:dyDescent="0.3">
      <c r="A45" s="359">
        <v>44</v>
      </c>
      <c r="B45" s="366" t="s">
        <v>419</v>
      </c>
      <c r="C45" s="366" t="s">
        <v>333</v>
      </c>
      <c r="D45" s="366" t="s">
        <v>354</v>
      </c>
      <c r="E45" s="366" t="s">
        <v>420</v>
      </c>
      <c r="F45" s="376">
        <v>96538</v>
      </c>
    </row>
    <row r="46" spans="1:6" x14ac:dyDescent="0.3">
      <c r="A46" s="359">
        <v>45</v>
      </c>
      <c r="B46" s="366" t="s">
        <v>421</v>
      </c>
      <c r="C46" s="366" t="s">
        <v>333</v>
      </c>
      <c r="D46" s="366" t="s">
        <v>364</v>
      </c>
      <c r="E46" s="366" t="s">
        <v>422</v>
      </c>
      <c r="F46" s="376">
        <v>86229</v>
      </c>
    </row>
    <row r="47" spans="1:6" x14ac:dyDescent="0.3">
      <c r="A47" s="359">
        <v>46</v>
      </c>
      <c r="B47" s="366" t="s">
        <v>423</v>
      </c>
      <c r="C47" s="366" t="s">
        <v>333</v>
      </c>
      <c r="D47" s="366" t="s">
        <v>354</v>
      </c>
      <c r="E47" s="366" t="s">
        <v>371</v>
      </c>
      <c r="F47" s="376">
        <v>81804</v>
      </c>
    </row>
    <row r="48" spans="1:6" x14ac:dyDescent="0.3">
      <c r="A48" s="359">
        <v>47</v>
      </c>
      <c r="B48" s="366" t="s">
        <v>424</v>
      </c>
      <c r="C48" s="366" t="s">
        <v>333</v>
      </c>
      <c r="D48" s="366" t="s">
        <v>354</v>
      </c>
      <c r="E48" s="366" t="s">
        <v>425</v>
      </c>
      <c r="F48" s="376">
        <v>86229</v>
      </c>
    </row>
    <row r="49" spans="1:6" x14ac:dyDescent="0.3">
      <c r="A49" s="359">
        <v>48</v>
      </c>
      <c r="B49" s="366" t="s">
        <v>426</v>
      </c>
      <c r="C49" s="366" t="s">
        <v>333</v>
      </c>
      <c r="D49" s="366" t="s">
        <v>364</v>
      </c>
      <c r="E49" s="366" t="s">
        <v>427</v>
      </c>
      <c r="F49" s="376">
        <v>86229</v>
      </c>
    </row>
    <row r="50" spans="1:6" x14ac:dyDescent="0.3">
      <c r="A50" s="359">
        <v>49</v>
      </c>
      <c r="B50" s="366" t="s">
        <v>428</v>
      </c>
      <c r="C50" s="366" t="s">
        <v>333</v>
      </c>
      <c r="D50" s="366" t="s">
        <v>361</v>
      </c>
      <c r="E50" s="366" t="s">
        <v>429</v>
      </c>
      <c r="F50" s="376">
        <v>117821</v>
      </c>
    </row>
    <row r="51" spans="1:6" x14ac:dyDescent="0.3">
      <c r="A51" s="359">
        <v>50</v>
      </c>
      <c r="B51" s="366" t="s">
        <v>430</v>
      </c>
      <c r="C51" s="366" t="s">
        <v>333</v>
      </c>
      <c r="D51" s="366" t="s">
        <v>364</v>
      </c>
      <c r="E51" s="366" t="s">
        <v>431</v>
      </c>
      <c r="F51" s="376">
        <v>99853</v>
      </c>
    </row>
    <row r="52" spans="1:6" x14ac:dyDescent="0.3">
      <c r="A52" s="359">
        <v>51</v>
      </c>
      <c r="B52" s="366" t="s">
        <v>432</v>
      </c>
      <c r="C52" s="366" t="s">
        <v>333</v>
      </c>
      <c r="D52" s="366" t="s">
        <v>354</v>
      </c>
      <c r="E52" s="366" t="s">
        <v>433</v>
      </c>
      <c r="F52" s="376">
        <v>98665</v>
      </c>
    </row>
    <row r="53" spans="1:6" x14ac:dyDescent="0.3">
      <c r="A53" s="359">
        <v>52</v>
      </c>
      <c r="B53" s="366" t="s">
        <v>434</v>
      </c>
      <c r="C53" s="366" t="s">
        <v>333</v>
      </c>
      <c r="D53" s="366" t="s">
        <v>354</v>
      </c>
      <c r="E53" s="366" t="s">
        <v>417</v>
      </c>
      <c r="F53" s="376">
        <v>65556</v>
      </c>
    </row>
    <row r="54" spans="1:6" x14ac:dyDescent="0.3">
      <c r="A54" s="359">
        <v>53</v>
      </c>
      <c r="B54" s="366" t="s">
        <v>435</v>
      </c>
      <c r="C54" s="366" t="s">
        <v>333</v>
      </c>
      <c r="D54" s="366" t="s">
        <v>361</v>
      </c>
      <c r="E54" s="366" t="s">
        <v>367</v>
      </c>
      <c r="F54" s="376">
        <v>108322</v>
      </c>
    </row>
    <row r="55" spans="1:6" x14ac:dyDescent="0.3">
      <c r="A55" s="359">
        <v>54</v>
      </c>
      <c r="B55" s="367" t="s">
        <v>436</v>
      </c>
      <c r="C55" s="368" t="s">
        <v>333</v>
      </c>
      <c r="D55" s="368" t="s">
        <v>354</v>
      </c>
      <c r="E55" s="368" t="s">
        <v>437</v>
      </c>
      <c r="F55" s="377">
        <v>80000</v>
      </c>
    </row>
    <row r="56" spans="1:6" x14ac:dyDescent="0.3">
      <c r="A56" s="359">
        <v>55</v>
      </c>
      <c r="B56" s="366" t="s">
        <v>438</v>
      </c>
      <c r="C56" s="366" t="s">
        <v>333</v>
      </c>
      <c r="D56" s="366" t="s">
        <v>364</v>
      </c>
      <c r="E56" s="366" t="s">
        <v>439</v>
      </c>
      <c r="F56" s="376">
        <v>120209</v>
      </c>
    </row>
    <row r="57" spans="1:6" x14ac:dyDescent="0.3">
      <c r="A57" s="359">
        <v>56</v>
      </c>
      <c r="B57" s="366" t="s">
        <v>440</v>
      </c>
      <c r="C57" s="366" t="s">
        <v>333</v>
      </c>
      <c r="D57" s="366" t="s">
        <v>354</v>
      </c>
      <c r="E57" s="366" t="s">
        <v>441</v>
      </c>
      <c r="F57" s="376">
        <v>101688</v>
      </c>
    </row>
    <row r="58" spans="1:6" x14ac:dyDescent="0.3">
      <c r="A58" s="359">
        <v>57</v>
      </c>
      <c r="B58" s="366" t="s">
        <v>442</v>
      </c>
      <c r="C58" s="366" t="s">
        <v>333</v>
      </c>
      <c r="D58" s="366" t="s">
        <v>354</v>
      </c>
      <c r="E58" s="366" t="s">
        <v>443</v>
      </c>
      <c r="F58" s="376">
        <v>117821</v>
      </c>
    </row>
    <row r="59" spans="1:6" x14ac:dyDescent="0.3">
      <c r="A59" s="359">
        <v>58</v>
      </c>
      <c r="B59" s="366" t="s">
        <v>444</v>
      </c>
      <c r="C59" s="366" t="s">
        <v>333</v>
      </c>
      <c r="D59" s="366" t="s">
        <v>354</v>
      </c>
      <c r="E59" s="366" t="s">
        <v>445</v>
      </c>
      <c r="F59" s="376">
        <v>107209</v>
      </c>
    </row>
    <row r="60" spans="1:6" x14ac:dyDescent="0.3">
      <c r="A60" s="359">
        <v>59</v>
      </c>
      <c r="B60" s="366" t="s">
        <v>446</v>
      </c>
      <c r="C60" s="366" t="s">
        <v>333</v>
      </c>
      <c r="D60" s="366" t="s">
        <v>354</v>
      </c>
      <c r="E60" s="366" t="s">
        <v>447</v>
      </c>
      <c r="F60" s="376">
        <v>82829</v>
      </c>
    </row>
    <row r="61" spans="1:6" x14ac:dyDescent="0.3">
      <c r="A61" s="359">
        <v>60</v>
      </c>
      <c r="B61" s="367" t="s">
        <v>448</v>
      </c>
      <c r="C61" s="368" t="s">
        <v>333</v>
      </c>
      <c r="D61" s="368" t="s">
        <v>403</v>
      </c>
      <c r="E61" s="368" t="s">
        <v>449</v>
      </c>
      <c r="F61" s="377">
        <v>80000</v>
      </c>
    </row>
    <row r="62" spans="1:6" x14ac:dyDescent="0.3">
      <c r="A62" s="359">
        <v>61</v>
      </c>
      <c r="B62" s="366" t="s">
        <v>450</v>
      </c>
      <c r="C62" s="366" t="s">
        <v>333</v>
      </c>
      <c r="D62" s="366" t="s">
        <v>354</v>
      </c>
      <c r="E62" s="366" t="s">
        <v>451</v>
      </c>
      <c r="F62" s="376">
        <v>91174</v>
      </c>
    </row>
    <row r="63" spans="1:6" x14ac:dyDescent="0.3">
      <c r="A63" s="359">
        <v>62</v>
      </c>
      <c r="B63" s="367" t="s">
        <v>452</v>
      </c>
      <c r="C63" s="368" t="s">
        <v>333</v>
      </c>
      <c r="D63" s="368" t="s">
        <v>354</v>
      </c>
      <c r="E63" s="368" t="s">
        <v>371</v>
      </c>
      <c r="F63" s="377">
        <v>80000</v>
      </c>
    </row>
    <row r="64" spans="1:6" x14ac:dyDescent="0.3">
      <c r="A64" s="359">
        <v>63</v>
      </c>
      <c r="B64" s="367" t="s">
        <v>453</v>
      </c>
      <c r="C64" s="368" t="s">
        <v>333</v>
      </c>
      <c r="D64" s="368" t="s">
        <v>361</v>
      </c>
      <c r="E64" s="368" t="s">
        <v>454</v>
      </c>
      <c r="F64" s="377">
        <v>80000</v>
      </c>
    </row>
    <row r="65" spans="1:6" x14ac:dyDescent="0.3">
      <c r="A65" s="359">
        <v>64</v>
      </c>
      <c r="B65" s="366" t="s">
        <v>455</v>
      </c>
      <c r="C65" s="366" t="s">
        <v>333</v>
      </c>
      <c r="D65" s="366" t="s">
        <v>364</v>
      </c>
      <c r="E65" s="366" t="s">
        <v>384</v>
      </c>
      <c r="F65" s="376">
        <v>70343</v>
      </c>
    </row>
    <row r="66" spans="1:6" x14ac:dyDescent="0.3">
      <c r="A66" s="359">
        <v>65</v>
      </c>
      <c r="B66" s="366" t="s">
        <v>456</v>
      </c>
      <c r="C66" s="366" t="s">
        <v>333</v>
      </c>
      <c r="D66" s="366" t="s">
        <v>354</v>
      </c>
      <c r="E66" s="366" t="s">
        <v>457</v>
      </c>
      <c r="F66" s="376">
        <v>111375</v>
      </c>
    </row>
    <row r="67" spans="1:6" x14ac:dyDescent="0.3">
      <c r="A67" s="359">
        <v>66</v>
      </c>
      <c r="B67" s="366" t="s">
        <v>458</v>
      </c>
      <c r="C67" s="366" t="s">
        <v>333</v>
      </c>
      <c r="D67" s="366" t="s">
        <v>354</v>
      </c>
      <c r="E67" s="366" t="s">
        <v>369</v>
      </c>
      <c r="F67" s="376">
        <v>129898</v>
      </c>
    </row>
    <row r="68" spans="1:6" x14ac:dyDescent="0.3">
      <c r="A68" s="359">
        <v>67</v>
      </c>
      <c r="B68" s="366" t="s">
        <v>459</v>
      </c>
      <c r="C68" s="366" t="s">
        <v>333</v>
      </c>
      <c r="D68" s="366" t="s">
        <v>354</v>
      </c>
      <c r="E68" s="366" t="s">
        <v>369</v>
      </c>
      <c r="F68" s="376">
        <v>82166</v>
      </c>
    </row>
    <row r="69" spans="1:6" x14ac:dyDescent="0.3">
      <c r="A69" s="359">
        <v>68</v>
      </c>
      <c r="B69" s="366" t="s">
        <v>460</v>
      </c>
      <c r="C69" s="366" t="s">
        <v>333</v>
      </c>
      <c r="D69" s="366" t="s">
        <v>354</v>
      </c>
      <c r="E69" s="366" t="s">
        <v>369</v>
      </c>
      <c r="F69" s="376">
        <v>72840</v>
      </c>
    </row>
    <row r="70" spans="1:6" x14ac:dyDescent="0.3">
      <c r="A70" s="359">
        <v>69</v>
      </c>
      <c r="B70" s="366" t="s">
        <v>461</v>
      </c>
      <c r="C70" s="366" t="s">
        <v>333</v>
      </c>
      <c r="D70" s="366" t="s">
        <v>354</v>
      </c>
      <c r="E70" s="366" t="s">
        <v>401</v>
      </c>
      <c r="F70" s="376">
        <v>82829</v>
      </c>
    </row>
    <row r="71" spans="1:6" x14ac:dyDescent="0.3">
      <c r="A71" s="359">
        <v>70</v>
      </c>
      <c r="B71" s="366" t="s">
        <v>462</v>
      </c>
      <c r="C71" s="366" t="s">
        <v>333</v>
      </c>
      <c r="D71" s="366" t="s">
        <v>354</v>
      </c>
      <c r="E71" s="366" t="s">
        <v>384</v>
      </c>
      <c r="F71" s="376">
        <v>81804</v>
      </c>
    </row>
    <row r="72" spans="1:6" x14ac:dyDescent="0.3">
      <c r="A72" s="359">
        <v>71</v>
      </c>
      <c r="B72" s="366" t="s">
        <v>463</v>
      </c>
      <c r="C72" s="366" t="s">
        <v>333</v>
      </c>
      <c r="D72" s="366" t="s">
        <v>354</v>
      </c>
      <c r="E72" s="366" t="s">
        <v>464</v>
      </c>
      <c r="F72" s="376">
        <v>63833</v>
      </c>
    </row>
    <row r="73" spans="1:6" x14ac:dyDescent="0.3">
      <c r="A73" s="359">
        <v>72</v>
      </c>
      <c r="B73" s="367" t="s">
        <v>465</v>
      </c>
      <c r="C73" s="370" t="s">
        <v>333</v>
      </c>
      <c r="D73" s="370" t="s">
        <v>466</v>
      </c>
      <c r="E73" s="370" t="s">
        <v>467</v>
      </c>
      <c r="F73" s="377">
        <v>50000</v>
      </c>
    </row>
    <row r="74" spans="1:6" x14ac:dyDescent="0.3">
      <c r="A74" s="359">
        <v>73</v>
      </c>
      <c r="B74" s="367" t="s">
        <v>468</v>
      </c>
      <c r="C74" s="370" t="s">
        <v>333</v>
      </c>
      <c r="D74" s="370" t="s">
        <v>466</v>
      </c>
      <c r="E74" s="370" t="s">
        <v>469</v>
      </c>
      <c r="F74" s="377">
        <v>50000</v>
      </c>
    </row>
    <row r="75" spans="1:6" x14ac:dyDescent="0.3">
      <c r="A75" s="359">
        <v>74</v>
      </c>
      <c r="B75" s="371" t="s">
        <v>470</v>
      </c>
      <c r="C75" s="371" t="s">
        <v>333</v>
      </c>
      <c r="D75" s="371" t="s">
        <v>466</v>
      </c>
      <c r="E75" s="371" t="s">
        <v>471</v>
      </c>
      <c r="F75" s="376">
        <v>58499</v>
      </c>
    </row>
    <row r="76" spans="1:6" x14ac:dyDescent="0.3">
      <c r="A76" s="359">
        <v>75</v>
      </c>
      <c r="B76" s="372" t="s">
        <v>472</v>
      </c>
      <c r="C76" s="371" t="s">
        <v>333</v>
      </c>
      <c r="D76" s="372" t="s">
        <v>334</v>
      </c>
      <c r="E76" s="372" t="s">
        <v>473</v>
      </c>
      <c r="F76" s="376">
        <v>105000</v>
      </c>
    </row>
    <row r="77" spans="1:6" x14ac:dyDescent="0.3">
      <c r="A77" s="359">
        <v>76</v>
      </c>
      <c r="B77" s="372" t="s">
        <v>474</v>
      </c>
      <c r="C77" s="372" t="s">
        <v>337</v>
      </c>
      <c r="D77" s="372" t="s">
        <v>475</v>
      </c>
      <c r="E77" s="372" t="s">
        <v>476</v>
      </c>
      <c r="F77" s="376">
        <v>78750</v>
      </c>
    </row>
    <row r="78" spans="1:6" x14ac:dyDescent="0.3">
      <c r="A78" s="359">
        <v>77</v>
      </c>
      <c r="B78" s="372" t="s">
        <v>477</v>
      </c>
      <c r="C78" s="372" t="s">
        <v>337</v>
      </c>
      <c r="D78" s="372" t="s">
        <v>478</v>
      </c>
      <c r="E78" s="372" t="s">
        <v>479</v>
      </c>
      <c r="F78" s="376">
        <v>181277.25</v>
      </c>
    </row>
    <row r="79" spans="1:6" x14ac:dyDescent="0.3">
      <c r="A79" s="359">
        <v>78</v>
      </c>
      <c r="B79" s="372" t="s">
        <v>480</v>
      </c>
      <c r="C79" s="372" t="s">
        <v>337</v>
      </c>
      <c r="D79" s="372" t="s">
        <v>481</v>
      </c>
      <c r="E79" s="372" t="s">
        <v>482</v>
      </c>
      <c r="F79" s="376">
        <v>45150</v>
      </c>
    </row>
    <row r="80" spans="1:6" x14ac:dyDescent="0.3">
      <c r="A80" s="359">
        <v>79</v>
      </c>
      <c r="B80" s="372" t="s">
        <v>483</v>
      </c>
      <c r="C80" s="372" t="s">
        <v>337</v>
      </c>
      <c r="D80" s="372" t="s">
        <v>348</v>
      </c>
      <c r="E80" s="372" t="s">
        <v>484</v>
      </c>
      <c r="F80" s="376">
        <v>43575</v>
      </c>
    </row>
    <row r="81" spans="1:6" x14ac:dyDescent="0.3">
      <c r="A81" s="359">
        <v>80</v>
      </c>
      <c r="B81" s="372" t="s">
        <v>485</v>
      </c>
      <c r="C81" s="372" t="s">
        <v>337</v>
      </c>
      <c r="D81" s="372" t="s">
        <v>486</v>
      </c>
      <c r="E81" s="372" t="s">
        <v>487</v>
      </c>
      <c r="F81" s="376">
        <v>122200.05</v>
      </c>
    </row>
    <row r="82" spans="1:6" x14ac:dyDescent="0.3">
      <c r="A82" s="359">
        <v>81</v>
      </c>
      <c r="B82" s="372" t="s">
        <v>488</v>
      </c>
      <c r="C82" s="372" t="s">
        <v>337</v>
      </c>
      <c r="D82" s="372" t="s">
        <v>478</v>
      </c>
      <c r="E82" s="372" t="s">
        <v>489</v>
      </c>
      <c r="F82" s="376">
        <v>133865.54999999999</v>
      </c>
    </row>
    <row r="83" spans="1:6" x14ac:dyDescent="0.3">
      <c r="A83" s="359">
        <v>82</v>
      </c>
      <c r="B83" s="372" t="s">
        <v>490</v>
      </c>
      <c r="C83" s="372" t="s">
        <v>337</v>
      </c>
      <c r="D83" s="372" t="s">
        <v>491</v>
      </c>
      <c r="E83" s="372" t="s">
        <v>492</v>
      </c>
      <c r="F83" s="376">
        <v>178500</v>
      </c>
    </row>
    <row r="84" spans="1:6" x14ac:dyDescent="0.3">
      <c r="A84" s="359">
        <v>83</v>
      </c>
      <c r="B84" s="372" t="s">
        <v>493</v>
      </c>
      <c r="C84" s="372" t="s">
        <v>337</v>
      </c>
      <c r="D84" s="372" t="s">
        <v>486</v>
      </c>
      <c r="E84" s="372" t="s">
        <v>494</v>
      </c>
      <c r="F84" s="376">
        <v>96218.85</v>
      </c>
    </row>
    <row r="85" spans="1:6" x14ac:dyDescent="0.3">
      <c r="A85" s="359">
        <v>84</v>
      </c>
      <c r="B85" s="372" t="s">
        <v>495</v>
      </c>
      <c r="C85" s="372" t="s">
        <v>337</v>
      </c>
      <c r="D85" s="372" t="s">
        <v>496</v>
      </c>
      <c r="E85" s="372" t="s">
        <v>497</v>
      </c>
      <c r="F85" s="376">
        <v>74500</v>
      </c>
    </row>
    <row r="86" spans="1:6" x14ac:dyDescent="0.3">
      <c r="A86" s="359">
        <v>85</v>
      </c>
      <c r="B86" s="372" t="s">
        <v>498</v>
      </c>
      <c r="C86" s="372" t="s">
        <v>337</v>
      </c>
      <c r="D86" s="372" t="s">
        <v>475</v>
      </c>
      <c r="E86" s="372" t="s">
        <v>349</v>
      </c>
      <c r="F86" s="376">
        <v>44520</v>
      </c>
    </row>
    <row r="87" spans="1:6" x14ac:dyDescent="0.3">
      <c r="A87" s="359">
        <v>86</v>
      </c>
      <c r="B87" s="372" t="s">
        <v>499</v>
      </c>
      <c r="C87" s="372" t="s">
        <v>337</v>
      </c>
      <c r="D87" s="372" t="s">
        <v>486</v>
      </c>
      <c r="E87" s="372" t="s">
        <v>500</v>
      </c>
      <c r="F87" s="376">
        <v>121252.95</v>
      </c>
    </row>
    <row r="88" spans="1:6" x14ac:dyDescent="0.3">
      <c r="A88" s="359">
        <v>87</v>
      </c>
      <c r="B88" s="372" t="s">
        <v>501</v>
      </c>
      <c r="C88" s="372" t="s">
        <v>337</v>
      </c>
      <c r="D88" s="372" t="s">
        <v>502</v>
      </c>
      <c r="E88" s="372" t="s">
        <v>503</v>
      </c>
      <c r="F88" s="376">
        <v>47800</v>
      </c>
    </row>
    <row r="89" spans="1:6" x14ac:dyDescent="0.3">
      <c r="A89" s="359">
        <v>88</v>
      </c>
      <c r="B89" s="372" t="s">
        <v>504</v>
      </c>
      <c r="C89" s="372" t="s">
        <v>337</v>
      </c>
      <c r="D89" s="372" t="s">
        <v>481</v>
      </c>
      <c r="E89" s="372" t="s">
        <v>505</v>
      </c>
      <c r="F89" s="376">
        <v>61423.95</v>
      </c>
    </row>
    <row r="90" spans="1:6" x14ac:dyDescent="0.3">
      <c r="A90" s="359">
        <v>89</v>
      </c>
      <c r="B90" s="372" t="s">
        <v>506</v>
      </c>
      <c r="C90" s="372" t="s">
        <v>337</v>
      </c>
      <c r="D90" s="372" t="s">
        <v>507</v>
      </c>
      <c r="E90" s="372" t="s">
        <v>476</v>
      </c>
      <c r="F90" s="377">
        <v>44520</v>
      </c>
    </row>
    <row r="91" spans="1:6" x14ac:dyDescent="0.3">
      <c r="A91" s="359">
        <v>90</v>
      </c>
      <c r="B91" s="372" t="s">
        <v>508</v>
      </c>
      <c r="C91" s="372" t="s">
        <v>337</v>
      </c>
      <c r="D91" s="372" t="s">
        <v>491</v>
      </c>
      <c r="E91" s="372" t="s">
        <v>509</v>
      </c>
      <c r="F91" s="376">
        <v>251160</v>
      </c>
    </row>
    <row r="92" spans="1:6" x14ac:dyDescent="0.3">
      <c r="A92" s="359">
        <v>91</v>
      </c>
      <c r="B92" s="372" t="s">
        <v>510</v>
      </c>
      <c r="C92" s="372" t="s">
        <v>337</v>
      </c>
      <c r="D92" s="372" t="s">
        <v>502</v>
      </c>
      <c r="E92" s="372" t="s">
        <v>511</v>
      </c>
      <c r="F92" s="376">
        <v>90250</v>
      </c>
    </row>
    <row r="93" spans="1:6" x14ac:dyDescent="0.3">
      <c r="A93" s="359">
        <v>92</v>
      </c>
      <c r="B93" s="372" t="s">
        <v>512</v>
      </c>
      <c r="C93" s="372" t="s">
        <v>337</v>
      </c>
      <c r="D93" s="372" t="s">
        <v>478</v>
      </c>
      <c r="E93" s="372" t="s">
        <v>513</v>
      </c>
      <c r="F93" s="376">
        <v>143325</v>
      </c>
    </row>
    <row r="94" spans="1:6" x14ac:dyDescent="0.3">
      <c r="A94" s="359">
        <v>93</v>
      </c>
      <c r="B94" s="372" t="s">
        <v>514</v>
      </c>
      <c r="C94" s="372" t="s">
        <v>337</v>
      </c>
      <c r="D94" s="372" t="s">
        <v>475</v>
      </c>
      <c r="E94" s="372" t="s">
        <v>515</v>
      </c>
      <c r="F94" s="376">
        <v>47250</v>
      </c>
    </row>
    <row r="95" spans="1:6" x14ac:dyDescent="0.3">
      <c r="A95" s="359">
        <v>94</v>
      </c>
      <c r="B95" s="372" t="s">
        <v>516</v>
      </c>
      <c r="C95" s="372" t="s">
        <v>337</v>
      </c>
      <c r="D95" s="372" t="s">
        <v>507</v>
      </c>
      <c r="E95" s="372" t="s">
        <v>517</v>
      </c>
      <c r="F95" s="376">
        <v>97232.1</v>
      </c>
    </row>
    <row r="96" spans="1:6" x14ac:dyDescent="0.3">
      <c r="A96" s="359">
        <v>95</v>
      </c>
      <c r="B96" s="372" t="s">
        <v>518</v>
      </c>
      <c r="C96" s="372" t="s">
        <v>337</v>
      </c>
      <c r="D96" s="372" t="s">
        <v>486</v>
      </c>
      <c r="E96" s="372" t="s">
        <v>519</v>
      </c>
      <c r="F96" s="376">
        <v>71600</v>
      </c>
    </row>
    <row r="97" spans="1:6" x14ac:dyDescent="0.3">
      <c r="A97" s="359">
        <v>96</v>
      </c>
      <c r="B97" s="372" t="s">
        <v>520</v>
      </c>
      <c r="C97" s="372" t="s">
        <v>337</v>
      </c>
      <c r="D97" s="372" t="s">
        <v>475</v>
      </c>
      <c r="E97" s="372" t="s">
        <v>349</v>
      </c>
      <c r="F97" s="376">
        <v>45150</v>
      </c>
    </row>
    <row r="98" spans="1:6" x14ac:dyDescent="0.3">
      <c r="A98" s="359">
        <v>97</v>
      </c>
      <c r="B98" s="372" t="s">
        <v>521</v>
      </c>
      <c r="C98" s="372" t="s">
        <v>337</v>
      </c>
      <c r="D98" s="372" t="s">
        <v>496</v>
      </c>
      <c r="E98" s="372" t="s">
        <v>497</v>
      </c>
      <c r="F98" s="376">
        <v>74046</v>
      </c>
    </row>
    <row r="99" spans="1:6" x14ac:dyDescent="0.3">
      <c r="A99" s="359">
        <v>98</v>
      </c>
      <c r="B99" s="372" t="s">
        <v>522</v>
      </c>
      <c r="C99" s="372" t="s">
        <v>337</v>
      </c>
      <c r="D99" s="372" t="s">
        <v>475</v>
      </c>
      <c r="E99" s="372" t="s">
        <v>476</v>
      </c>
      <c r="F99" s="376">
        <v>51000</v>
      </c>
    </row>
    <row r="100" spans="1:6" x14ac:dyDescent="0.3">
      <c r="A100" s="359">
        <v>99</v>
      </c>
      <c r="B100" s="372" t="s">
        <v>523</v>
      </c>
      <c r="C100" s="372" t="s">
        <v>337</v>
      </c>
      <c r="D100" s="372" t="s">
        <v>496</v>
      </c>
      <c r="E100" s="372" t="s">
        <v>524</v>
      </c>
      <c r="F100" s="376">
        <v>43575</v>
      </c>
    </row>
    <row r="101" spans="1:6" ht="14.5" thickBot="1" x14ac:dyDescent="0.35">
      <c r="A101" s="359">
        <v>100</v>
      </c>
      <c r="B101" s="373" t="s">
        <v>525</v>
      </c>
      <c r="C101" s="372" t="s">
        <v>337</v>
      </c>
      <c r="D101" s="372" t="s">
        <v>475</v>
      </c>
      <c r="E101" s="372" t="s">
        <v>349</v>
      </c>
      <c r="F101" s="379">
        <v>37129</v>
      </c>
    </row>
    <row r="102" spans="1:6" x14ac:dyDescent="0.3">
      <c r="A102" s="359">
        <v>101</v>
      </c>
      <c r="B102" s="372" t="s">
        <v>526</v>
      </c>
      <c r="C102" s="372" t="s">
        <v>337</v>
      </c>
      <c r="D102" s="372" t="s">
        <v>475</v>
      </c>
      <c r="E102" s="372" t="s">
        <v>476</v>
      </c>
      <c r="F102" s="380">
        <v>55000</v>
      </c>
    </row>
    <row r="103" spans="1:6" x14ac:dyDescent="0.3">
      <c r="A103" s="359">
        <v>102</v>
      </c>
      <c r="B103" s="372" t="s">
        <v>527</v>
      </c>
      <c r="C103" s="372" t="s">
        <v>337</v>
      </c>
      <c r="D103" s="372" t="s">
        <v>496</v>
      </c>
      <c r="E103" s="372" t="s">
        <v>484</v>
      </c>
      <c r="F103" s="380">
        <v>43575</v>
      </c>
    </row>
    <row r="104" spans="1:6" x14ac:dyDescent="0.3">
      <c r="A104" s="359">
        <v>103</v>
      </c>
      <c r="B104" s="372" t="s">
        <v>528</v>
      </c>
      <c r="C104" s="372" t="s">
        <v>337</v>
      </c>
      <c r="D104" s="372" t="s">
        <v>478</v>
      </c>
      <c r="E104" s="372" t="s">
        <v>513</v>
      </c>
      <c r="F104" s="380">
        <v>143325</v>
      </c>
    </row>
    <row r="105" spans="1:6" x14ac:dyDescent="0.3">
      <c r="A105" s="359">
        <v>104</v>
      </c>
      <c r="B105" s="372" t="s">
        <v>529</v>
      </c>
      <c r="C105" s="372" t="s">
        <v>333</v>
      </c>
      <c r="D105" s="372" t="s">
        <v>486</v>
      </c>
      <c r="E105" s="372" t="s">
        <v>530</v>
      </c>
      <c r="F105" s="381">
        <v>115432</v>
      </c>
    </row>
    <row r="106" spans="1:6" x14ac:dyDescent="0.3">
      <c r="F106" s="375">
        <f>SUM(F2:F105)</f>
        <v>9218319.9000000004</v>
      </c>
    </row>
    <row r="110" spans="1:6" x14ac:dyDescent="0.3">
      <c r="D110" s="374" t="s">
        <v>491</v>
      </c>
      <c r="E110" s="374"/>
      <c r="F110">
        <f>SUMIF($D$2:$D$105,D110,$F$2:$F$105)</f>
        <v>429660</v>
      </c>
    </row>
    <row r="111" spans="1:6" x14ac:dyDescent="0.3">
      <c r="D111" s="374" t="s">
        <v>478</v>
      </c>
      <c r="E111" s="374"/>
      <c r="F111">
        <f t="shared" ref="F111:F124" si="0">SUMIF($D$2:$D$105,D111,$F$2:$F$105)</f>
        <v>601792.80000000005</v>
      </c>
    </row>
    <row r="112" spans="1:6" x14ac:dyDescent="0.3">
      <c r="D112" s="374" t="s">
        <v>486</v>
      </c>
      <c r="E112" s="374"/>
      <c r="F112">
        <f t="shared" si="0"/>
        <v>688203.85000000009</v>
      </c>
    </row>
    <row r="113" spans="4:6" x14ac:dyDescent="0.3">
      <c r="D113" s="374" t="s">
        <v>502</v>
      </c>
      <c r="E113" s="374"/>
      <c r="F113">
        <f t="shared" si="0"/>
        <v>138050</v>
      </c>
    </row>
    <row r="114" spans="4:6" x14ac:dyDescent="0.3">
      <c r="D114" s="374" t="s">
        <v>475</v>
      </c>
      <c r="E114" s="374"/>
      <c r="F114">
        <f t="shared" si="0"/>
        <v>358799</v>
      </c>
    </row>
    <row r="115" spans="4:6" x14ac:dyDescent="0.3">
      <c r="D115" s="374" t="s">
        <v>354</v>
      </c>
      <c r="E115" s="374"/>
      <c r="F115">
        <f t="shared" si="0"/>
        <v>3767213</v>
      </c>
    </row>
    <row r="116" spans="4:6" x14ac:dyDescent="0.3">
      <c r="D116" s="374" t="s">
        <v>361</v>
      </c>
      <c r="E116" s="374"/>
      <c r="F116">
        <f t="shared" si="0"/>
        <v>683847</v>
      </c>
    </row>
    <row r="117" spans="4:6" x14ac:dyDescent="0.3">
      <c r="D117" s="374" t="s">
        <v>466</v>
      </c>
      <c r="E117" s="374"/>
      <c r="F117">
        <f t="shared" si="0"/>
        <v>158499</v>
      </c>
    </row>
    <row r="118" spans="4:6" x14ac:dyDescent="0.3">
      <c r="D118" s="374" t="s">
        <v>403</v>
      </c>
      <c r="E118" s="374"/>
      <c r="F118">
        <f t="shared" si="0"/>
        <v>187562</v>
      </c>
    </row>
    <row r="119" spans="4:6" x14ac:dyDescent="0.3">
      <c r="D119" s="374" t="s">
        <v>364</v>
      </c>
      <c r="E119" s="374"/>
      <c r="F119">
        <f t="shared" si="0"/>
        <v>715146</v>
      </c>
    </row>
    <row r="120" spans="4:6" x14ac:dyDescent="0.3">
      <c r="D120" s="374" t="s">
        <v>348</v>
      </c>
      <c r="E120" s="374"/>
      <c r="F120">
        <f t="shared" si="0"/>
        <v>174899.9</v>
      </c>
    </row>
    <row r="121" spans="4:6" x14ac:dyDescent="0.3">
      <c r="D121" s="374" t="s">
        <v>334</v>
      </c>
      <c r="E121" s="374"/>
      <c r="F121">
        <f t="shared" si="0"/>
        <v>830625.29999999993</v>
      </c>
    </row>
    <row r="122" spans="4:6" x14ac:dyDescent="0.3">
      <c r="D122" s="374" t="s">
        <v>507</v>
      </c>
      <c r="E122" s="374"/>
      <c r="F122">
        <f t="shared" si="0"/>
        <v>141752.1</v>
      </c>
    </row>
    <row r="123" spans="4:6" x14ac:dyDescent="0.3">
      <c r="D123" s="374" t="s">
        <v>481</v>
      </c>
      <c r="E123" s="374"/>
      <c r="F123">
        <f t="shared" si="0"/>
        <v>106573.95</v>
      </c>
    </row>
    <row r="124" spans="4:6" x14ac:dyDescent="0.3">
      <c r="D124" s="374" t="s">
        <v>496</v>
      </c>
      <c r="E124" s="374"/>
      <c r="F124">
        <f t="shared" si="0"/>
        <v>235696</v>
      </c>
    </row>
    <row r="125" spans="4:6" x14ac:dyDescent="0.3">
      <c r="F125">
        <f>SUM(F110:F124)</f>
        <v>9218319.9000000004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1EE2C-7506-4DBC-9F79-DE87AF8555BD}">
  <dimension ref="A1:R27"/>
  <sheetViews>
    <sheetView workbookViewId="0">
      <selection activeCell="F17" sqref="F17"/>
    </sheetView>
  </sheetViews>
  <sheetFormatPr defaultRowHeight="14" x14ac:dyDescent="0.3"/>
  <cols>
    <col min="2" max="2" width="11.8984375" customWidth="1"/>
    <col min="3" max="3" width="9.765625E-2" customWidth="1"/>
    <col min="4" max="6" width="12.3984375" customWidth="1"/>
    <col min="7" max="7" width="9.765625E-2" customWidth="1"/>
    <col min="8" max="8" width="7.59765625" customWidth="1"/>
    <col min="9" max="9" width="11.69921875" customWidth="1"/>
    <col min="10" max="10" width="9.765625E-2" customWidth="1"/>
    <col min="11" max="11" width="7.59765625" customWidth="1"/>
    <col min="12" max="12" width="11.69921875" customWidth="1"/>
    <col min="13" max="13" width="9.765625E-2" customWidth="1"/>
    <col min="14" max="14" width="7.59765625" customWidth="1"/>
    <col min="15" max="15" width="11.69921875" customWidth="1"/>
    <col min="16" max="16" width="9.765625E-2" customWidth="1"/>
    <col min="17" max="17" width="7.59765625" customWidth="1"/>
    <col min="18" max="18" width="11.69921875" customWidth="1"/>
  </cols>
  <sheetData>
    <row r="1" spans="1:18" s="1" customFormat="1" ht="20" x14ac:dyDescent="0.4">
      <c r="A1" s="394" t="s">
        <v>156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</row>
    <row r="2" spans="1:18" s="3" customFormat="1" ht="18" x14ac:dyDescent="0.4">
      <c r="A2" s="390" t="s">
        <v>1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</row>
    <row r="3" spans="1:18" s="3" customFormat="1" ht="18" x14ac:dyDescent="0.4">
      <c r="A3" s="390" t="s">
        <v>19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</row>
    <row r="5" spans="1:18" x14ac:dyDescent="0.3">
      <c r="C5" s="4"/>
      <c r="D5" s="5"/>
      <c r="E5" s="5"/>
      <c r="F5" s="5"/>
      <c r="G5" s="4"/>
      <c r="H5" s="395" t="s">
        <v>3</v>
      </c>
      <c r="I5" s="395"/>
      <c r="J5" s="395"/>
      <c r="K5" s="395"/>
      <c r="L5" s="395"/>
      <c r="M5" s="395"/>
      <c r="N5" s="395"/>
      <c r="O5" s="395"/>
      <c r="P5" s="395"/>
      <c r="Q5" s="395"/>
      <c r="R5" s="395"/>
    </row>
    <row r="6" spans="1:18" x14ac:dyDescent="0.3">
      <c r="B6" s="6" t="s">
        <v>5</v>
      </c>
      <c r="C6" s="7"/>
      <c r="D6" s="396" t="s">
        <v>5</v>
      </c>
      <c r="E6" s="397"/>
      <c r="F6" s="398"/>
      <c r="G6" s="7"/>
      <c r="H6" s="399" t="s">
        <v>6</v>
      </c>
      <c r="I6" s="400"/>
      <c r="J6" s="8"/>
      <c r="K6" s="401" t="s">
        <v>20</v>
      </c>
      <c r="L6" s="401"/>
      <c r="M6" s="401"/>
      <c r="N6" s="401"/>
      <c r="O6" s="401"/>
      <c r="P6" s="401"/>
      <c r="Q6" s="401"/>
      <c r="R6" s="401"/>
    </row>
    <row r="7" spans="1:18" s="9" customFormat="1" x14ac:dyDescent="0.3">
      <c r="B7" s="6" t="s">
        <v>7</v>
      </c>
      <c r="C7" s="10"/>
      <c r="D7" s="402" t="s">
        <v>8</v>
      </c>
      <c r="E7" s="402"/>
      <c r="F7" s="402"/>
      <c r="G7" s="10"/>
      <c r="H7" s="403" t="s">
        <v>9</v>
      </c>
      <c r="I7" s="404"/>
      <c r="J7" s="11"/>
      <c r="K7" s="405" t="s">
        <v>10</v>
      </c>
      <c r="L7" s="405"/>
      <c r="M7" s="12"/>
      <c r="N7" s="406" t="s">
        <v>11</v>
      </c>
      <c r="O7" s="406"/>
      <c r="P7" s="12"/>
      <c r="Q7" s="407" t="s">
        <v>12</v>
      </c>
      <c r="R7" s="407"/>
    </row>
    <row r="8" spans="1:18" s="9" customFormat="1" x14ac:dyDescent="0.3">
      <c r="A8" s="13" t="s">
        <v>13</v>
      </c>
      <c r="B8" s="13" t="s">
        <v>14</v>
      </c>
      <c r="C8" s="14"/>
      <c r="D8" s="15" t="s">
        <v>15</v>
      </c>
      <c r="E8" s="15" t="s">
        <v>16</v>
      </c>
      <c r="F8" s="15" t="s">
        <v>17</v>
      </c>
      <c r="G8" s="10"/>
      <c r="H8" s="16" t="s">
        <v>18</v>
      </c>
      <c r="I8" s="17" t="s">
        <v>17</v>
      </c>
      <c r="J8" s="18"/>
      <c r="K8" s="19" t="s">
        <v>18</v>
      </c>
      <c r="L8" s="20" t="s">
        <v>17</v>
      </c>
      <c r="M8" s="18"/>
      <c r="N8" s="21" t="s">
        <v>18</v>
      </c>
      <c r="O8" s="22" t="s">
        <v>17</v>
      </c>
      <c r="P8" s="18"/>
      <c r="Q8" s="23" t="s">
        <v>18</v>
      </c>
      <c r="R8" s="24" t="s">
        <v>17</v>
      </c>
    </row>
    <row r="9" spans="1:18" x14ac:dyDescent="0.3">
      <c r="A9" s="25">
        <v>6</v>
      </c>
      <c r="B9" s="26">
        <v>85.025000000000006</v>
      </c>
      <c r="C9" s="27"/>
      <c r="D9" s="28">
        <v>84</v>
      </c>
      <c r="E9" s="124"/>
      <c r="F9" s="28">
        <f>D9-(D9*E9)</f>
        <v>84</v>
      </c>
      <c r="G9" s="7"/>
      <c r="H9" s="29">
        <f>I9/$F$17</f>
        <v>3.324915824915825E-2</v>
      </c>
      <c r="I9" s="30">
        <f>L9+O9+R9</f>
        <v>19.75</v>
      </c>
      <c r="J9" s="31"/>
      <c r="K9" s="32">
        <f>L9/$F$9</f>
        <v>5.9523809523809521E-2</v>
      </c>
      <c r="L9" s="33">
        <v>5</v>
      </c>
      <c r="M9" s="31"/>
      <c r="N9" s="34">
        <f>O9/$F$9</f>
        <v>3.5119047619047619E-2</v>
      </c>
      <c r="O9" s="35">
        <v>2.95</v>
      </c>
      <c r="P9" s="31"/>
      <c r="Q9" s="36">
        <f t="shared" ref="Q9:Q15" si="0">R9/$F$9</f>
        <v>0.14047619047619048</v>
      </c>
      <c r="R9" s="37">
        <v>11.8</v>
      </c>
    </row>
    <row r="10" spans="1:18" x14ac:dyDescent="0.3">
      <c r="A10" s="25">
        <f>A9+1</f>
        <v>7</v>
      </c>
      <c r="B10" s="38">
        <v>88.95</v>
      </c>
      <c r="C10" s="27"/>
      <c r="D10" s="26">
        <f>B9</f>
        <v>85.025000000000006</v>
      </c>
      <c r="E10" s="124"/>
      <c r="F10" s="28">
        <f t="shared" ref="F10:F15" si="1">D10-(D10*E10)</f>
        <v>85.025000000000006</v>
      </c>
      <c r="G10" s="7"/>
      <c r="H10" s="29">
        <f t="shared" ref="H10:H15" si="2">I10/$F$17</f>
        <v>2.0959595959595959E-2</v>
      </c>
      <c r="I10" s="30">
        <f t="shared" ref="I10:I15" si="3">L10+O10+R10</f>
        <v>12.45</v>
      </c>
      <c r="J10" s="31"/>
      <c r="K10" s="32">
        <f t="shared" ref="K10:K15" si="4">L10/$F$9</f>
        <v>1.7261904761904763E-2</v>
      </c>
      <c r="L10" s="33">
        <v>1.45</v>
      </c>
      <c r="M10" s="31"/>
      <c r="N10" s="34">
        <f t="shared" ref="N10:N15" si="5">O10/$F$9</f>
        <v>0</v>
      </c>
      <c r="O10" s="35">
        <v>0</v>
      </c>
      <c r="P10" s="31"/>
      <c r="Q10" s="36">
        <f t="shared" si="0"/>
        <v>0.13095238095238096</v>
      </c>
      <c r="R10" s="37">
        <v>11</v>
      </c>
    </row>
    <row r="11" spans="1:18" x14ac:dyDescent="0.3">
      <c r="A11" s="25">
        <f t="shared" ref="A11:A15" si="6">A10+1</f>
        <v>8</v>
      </c>
      <c r="B11" s="39">
        <v>80.400000000000006</v>
      </c>
      <c r="C11" s="27"/>
      <c r="D11" s="38">
        <f t="shared" ref="D11:D15" si="7">B10</f>
        <v>88.95</v>
      </c>
      <c r="E11" s="124"/>
      <c r="F11" s="28">
        <f t="shared" si="1"/>
        <v>88.95</v>
      </c>
      <c r="G11" s="7"/>
      <c r="H11" s="29">
        <f t="shared" si="2"/>
        <v>2.5883838383838384E-2</v>
      </c>
      <c r="I11" s="30">
        <f t="shared" si="3"/>
        <v>15.375</v>
      </c>
      <c r="J11" s="31"/>
      <c r="K11" s="32">
        <f t="shared" si="4"/>
        <v>0</v>
      </c>
      <c r="L11" s="33">
        <v>0</v>
      </c>
      <c r="M11" s="31"/>
      <c r="N11" s="34">
        <f t="shared" si="5"/>
        <v>8.6309523809523815E-3</v>
      </c>
      <c r="O11" s="35">
        <v>0.72499999999999998</v>
      </c>
      <c r="P11" s="31"/>
      <c r="Q11" s="36">
        <f t="shared" si="0"/>
        <v>0.1744047619047619</v>
      </c>
      <c r="R11" s="37">
        <v>14.65</v>
      </c>
    </row>
    <row r="12" spans="1:18" x14ac:dyDescent="0.3">
      <c r="A12" s="25">
        <f t="shared" si="6"/>
        <v>9</v>
      </c>
      <c r="B12" s="40">
        <v>92.6</v>
      </c>
      <c r="C12" s="27"/>
      <c r="D12" s="39">
        <f t="shared" si="7"/>
        <v>80.400000000000006</v>
      </c>
      <c r="E12" s="124"/>
      <c r="F12" s="28">
        <f t="shared" si="1"/>
        <v>80.400000000000006</v>
      </c>
      <c r="G12" s="7"/>
      <c r="H12" s="29">
        <f t="shared" si="2"/>
        <v>3.4006734006734013E-2</v>
      </c>
      <c r="I12" s="30">
        <f t="shared" si="3"/>
        <v>20.200000000000003</v>
      </c>
      <c r="J12" s="31"/>
      <c r="K12" s="32">
        <f t="shared" si="4"/>
        <v>9.2261904761904764E-3</v>
      </c>
      <c r="L12" s="33">
        <v>0.77500000000000002</v>
      </c>
      <c r="M12" s="31"/>
      <c r="N12" s="34">
        <f t="shared" si="5"/>
        <v>1.4285714285714285E-2</v>
      </c>
      <c r="O12" s="35">
        <v>1.2</v>
      </c>
      <c r="P12" s="31"/>
      <c r="Q12" s="36">
        <f t="shared" si="0"/>
        <v>0.21696428571428572</v>
      </c>
      <c r="R12" s="37">
        <v>18.225000000000001</v>
      </c>
    </row>
    <row r="13" spans="1:18" x14ac:dyDescent="0.3">
      <c r="A13" s="25">
        <f t="shared" si="6"/>
        <v>10</v>
      </c>
      <c r="B13" s="30">
        <v>84.275000000000006</v>
      </c>
      <c r="C13" s="27"/>
      <c r="D13" s="40">
        <f t="shared" si="7"/>
        <v>92.6</v>
      </c>
      <c r="E13" s="124"/>
      <c r="F13" s="28">
        <f t="shared" si="1"/>
        <v>92.6</v>
      </c>
      <c r="G13" s="7"/>
      <c r="H13" s="29">
        <f t="shared" si="2"/>
        <v>2.2853535353535352E-2</v>
      </c>
      <c r="I13" s="30">
        <f t="shared" si="3"/>
        <v>13.574999999999999</v>
      </c>
      <c r="J13" s="31"/>
      <c r="K13" s="32">
        <f t="shared" si="4"/>
        <v>0</v>
      </c>
      <c r="L13" s="33">
        <v>0</v>
      </c>
      <c r="M13" s="31"/>
      <c r="N13" s="34">
        <f t="shared" si="5"/>
        <v>0</v>
      </c>
      <c r="O13" s="35">
        <v>0</v>
      </c>
      <c r="P13" s="31"/>
      <c r="Q13" s="36">
        <f t="shared" si="0"/>
        <v>0.16160714285714284</v>
      </c>
      <c r="R13" s="37">
        <v>13.574999999999999</v>
      </c>
    </row>
    <row r="14" spans="1:18" x14ac:dyDescent="0.3">
      <c r="A14" s="25">
        <f t="shared" si="6"/>
        <v>11</v>
      </c>
      <c r="B14" s="41">
        <v>78.75</v>
      </c>
      <c r="C14" s="27"/>
      <c r="D14" s="30">
        <f t="shared" si="7"/>
        <v>84.275000000000006</v>
      </c>
      <c r="E14" s="124"/>
      <c r="F14" s="28">
        <f t="shared" si="1"/>
        <v>84.275000000000006</v>
      </c>
      <c r="G14" s="7"/>
      <c r="H14" s="29">
        <f t="shared" si="2"/>
        <v>5.0505050505050509E-3</v>
      </c>
      <c r="I14" s="30">
        <f t="shared" si="3"/>
        <v>3</v>
      </c>
      <c r="J14" s="31"/>
      <c r="K14" s="32">
        <f t="shared" si="4"/>
        <v>0</v>
      </c>
      <c r="L14" s="33">
        <v>0</v>
      </c>
      <c r="M14" s="31"/>
      <c r="N14" s="34">
        <f t="shared" si="5"/>
        <v>0</v>
      </c>
      <c r="O14" s="35">
        <v>0</v>
      </c>
      <c r="P14" s="31"/>
      <c r="Q14" s="36">
        <f t="shared" si="0"/>
        <v>3.5714285714285712E-2</v>
      </c>
      <c r="R14" s="37">
        <v>3</v>
      </c>
    </row>
    <row r="15" spans="1:18" x14ac:dyDescent="0.3">
      <c r="A15" s="25">
        <f t="shared" si="6"/>
        <v>12</v>
      </c>
      <c r="B15" s="42">
        <v>77.775000000000006</v>
      </c>
      <c r="C15" s="27"/>
      <c r="D15" s="41">
        <f t="shared" si="7"/>
        <v>78.75</v>
      </c>
      <c r="E15" s="124"/>
      <c r="F15" s="28">
        <f t="shared" si="1"/>
        <v>78.75</v>
      </c>
      <c r="G15" s="7"/>
      <c r="H15" s="29">
        <f t="shared" si="2"/>
        <v>2.2474747474747474E-2</v>
      </c>
      <c r="I15" s="30">
        <f t="shared" si="3"/>
        <v>13.35</v>
      </c>
      <c r="J15" s="31"/>
      <c r="K15" s="32">
        <f t="shared" si="4"/>
        <v>0</v>
      </c>
      <c r="L15" s="33">
        <v>0</v>
      </c>
      <c r="M15" s="31"/>
      <c r="N15" s="34">
        <f t="shared" si="5"/>
        <v>2.976190476190476E-3</v>
      </c>
      <c r="O15" s="35">
        <v>0.25</v>
      </c>
      <c r="P15" s="31"/>
      <c r="Q15" s="36">
        <f t="shared" si="0"/>
        <v>0.15595238095238095</v>
      </c>
      <c r="R15" s="37">
        <v>13.1</v>
      </c>
    </row>
    <row r="16" spans="1:18" x14ac:dyDescent="0.3">
      <c r="B16" s="42"/>
      <c r="C16" s="27"/>
      <c r="D16" s="28"/>
      <c r="E16" s="124"/>
      <c r="F16" s="28"/>
      <c r="G16" s="7"/>
      <c r="H16" s="29"/>
      <c r="I16" s="30"/>
      <c r="J16" s="31"/>
      <c r="K16" s="32"/>
      <c r="L16" s="33"/>
      <c r="M16" s="31"/>
      <c r="N16" s="34"/>
      <c r="O16" s="35"/>
      <c r="P16" s="31"/>
      <c r="Q16" s="36"/>
      <c r="R16" s="37"/>
    </row>
    <row r="17" spans="2:18" s="9" customFormat="1" x14ac:dyDescent="0.3">
      <c r="B17" s="43">
        <f>SUM(B9:B16)</f>
        <v>587.77499999999998</v>
      </c>
      <c r="C17" s="44"/>
      <c r="D17" s="45">
        <f>SUM(D9:D16)</f>
        <v>594</v>
      </c>
      <c r="E17" s="46"/>
      <c r="F17" s="45">
        <f>SUM(F9:F16)</f>
        <v>594</v>
      </c>
      <c r="G17" s="47"/>
      <c r="H17" s="48"/>
      <c r="I17" s="49">
        <f>SUM(I9:I16)</f>
        <v>97.7</v>
      </c>
      <c r="J17" s="50"/>
      <c r="K17" s="51"/>
      <c r="L17" s="52">
        <f>SUM(L9:L16)</f>
        <v>7.2250000000000005</v>
      </c>
      <c r="M17" s="50"/>
      <c r="N17" s="53"/>
      <c r="O17" s="54">
        <f>SUM(O9:O16)</f>
        <v>5.125</v>
      </c>
      <c r="P17" s="50"/>
      <c r="Q17" s="55"/>
      <c r="R17" s="56">
        <f>SUM(R9:R16)</f>
        <v>85.35</v>
      </c>
    </row>
    <row r="18" spans="2:18" x14ac:dyDescent="0.3">
      <c r="B18" s="57"/>
      <c r="D18" s="57"/>
      <c r="E18" s="58"/>
      <c r="F18" s="57"/>
    </row>
    <row r="19" spans="2:18" x14ac:dyDescent="0.3">
      <c r="B19" s="57"/>
      <c r="D19" s="57"/>
      <c r="E19" s="58"/>
      <c r="F19" s="57"/>
    </row>
    <row r="20" spans="2:18" x14ac:dyDescent="0.3">
      <c r="B20" s="57"/>
      <c r="D20" s="57"/>
      <c r="E20" s="58"/>
    </row>
    <row r="21" spans="2:18" x14ac:dyDescent="0.3">
      <c r="B21" s="57"/>
      <c r="D21" s="57"/>
      <c r="E21" s="58"/>
    </row>
    <row r="22" spans="2:18" x14ac:dyDescent="0.3">
      <c r="D22" s="57"/>
      <c r="E22" s="58"/>
    </row>
    <row r="23" spans="2:18" x14ac:dyDescent="0.3">
      <c r="D23" s="57"/>
      <c r="E23" s="58"/>
    </row>
    <row r="24" spans="2:18" x14ac:dyDescent="0.3">
      <c r="D24" s="57"/>
      <c r="E24" s="58"/>
    </row>
    <row r="25" spans="2:18" x14ac:dyDescent="0.3">
      <c r="D25" s="57"/>
      <c r="E25" s="58"/>
    </row>
    <row r="26" spans="2:18" x14ac:dyDescent="0.3">
      <c r="E26" s="58"/>
    </row>
    <row r="27" spans="2:18" x14ac:dyDescent="0.3">
      <c r="E27" s="58"/>
    </row>
  </sheetData>
  <mergeCells count="12">
    <mergeCell ref="D7:F7"/>
    <mergeCell ref="H7:I7"/>
    <mergeCell ref="K7:L7"/>
    <mergeCell ref="N7:O7"/>
    <mergeCell ref="Q7:R7"/>
    <mergeCell ref="A1:R1"/>
    <mergeCell ref="A2:R2"/>
    <mergeCell ref="A3:R3"/>
    <mergeCell ref="H5:R5"/>
    <mergeCell ref="D6:F6"/>
    <mergeCell ref="H6:I6"/>
    <mergeCell ref="K6:R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BB3D-503A-43FC-B0FD-9632F971C44C}">
  <dimension ref="A1:T62"/>
  <sheetViews>
    <sheetView workbookViewId="0">
      <selection activeCell="E48" sqref="E48"/>
    </sheetView>
  </sheetViews>
  <sheetFormatPr defaultColWidth="9.8984375" defaultRowHeight="14" x14ac:dyDescent="0.3"/>
  <cols>
    <col min="1" max="1" width="6.09765625" style="59" customWidth="1"/>
    <col min="2" max="2" width="31.69921875" style="59" customWidth="1"/>
    <col min="3" max="3" width="14" style="59" customWidth="1"/>
    <col min="4" max="7" width="14.3984375" style="59" customWidth="1"/>
    <col min="8" max="8" width="2" style="59" hidden="1" customWidth="1"/>
    <col min="9" max="9" width="10.09765625" style="59" hidden="1" customWidth="1"/>
    <col min="10" max="11" width="10.3984375" style="59" hidden="1" customWidth="1"/>
    <col min="12" max="12" width="2" style="59" hidden="1" customWidth="1"/>
    <col min="13" max="13" width="10.09765625" style="59" hidden="1" customWidth="1"/>
    <col min="14" max="15" width="10.3984375" style="59" hidden="1" customWidth="1"/>
    <col min="16" max="16" width="12.09765625" style="59" hidden="1" customWidth="1"/>
    <col min="17" max="17" width="2" style="59" hidden="1" customWidth="1"/>
    <col min="18" max="20" width="10.3984375" style="59" hidden="1" customWidth="1"/>
    <col min="21" max="16384" width="9.8984375" style="59"/>
  </cols>
  <sheetData>
    <row r="1" spans="1:20" s="1" customFormat="1" ht="20" x14ac:dyDescent="0.4">
      <c r="A1" s="394" t="s">
        <v>156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</row>
    <row r="2" spans="1:20" s="3" customFormat="1" ht="18" x14ac:dyDescent="0.4">
      <c r="A2" s="390" t="s">
        <v>21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</row>
    <row r="3" spans="1:20" s="3" customFormat="1" ht="18" x14ac:dyDescent="0.4">
      <c r="A3" s="417" t="s">
        <v>19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</row>
    <row r="5" spans="1:20" x14ac:dyDescent="0.3">
      <c r="B5" s="9"/>
      <c r="C5" s="9"/>
      <c r="D5" s="418" t="s">
        <v>22</v>
      </c>
      <c r="E5" s="419"/>
      <c r="F5" s="419"/>
      <c r="G5" s="419"/>
      <c r="H5" s="60"/>
      <c r="I5" s="409" t="s">
        <v>23</v>
      </c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10"/>
    </row>
    <row r="6" spans="1:20" x14ac:dyDescent="0.3">
      <c r="E6" s="420" t="s">
        <v>24</v>
      </c>
      <c r="F6" s="420"/>
      <c r="G6" s="420"/>
      <c r="H6" s="61"/>
      <c r="I6" s="421" t="s">
        <v>25</v>
      </c>
      <c r="J6" s="421"/>
      <c r="K6" s="421"/>
      <c r="L6" s="62"/>
      <c r="M6" s="405" t="s">
        <v>26</v>
      </c>
      <c r="N6" s="405"/>
      <c r="O6" s="405"/>
      <c r="P6" s="405"/>
      <c r="Q6" s="63"/>
      <c r="R6" s="422" t="s">
        <v>27</v>
      </c>
      <c r="S6" s="423"/>
      <c r="T6" s="424"/>
    </row>
    <row r="7" spans="1:20" x14ac:dyDescent="0.3">
      <c r="D7" s="13" t="s">
        <v>28</v>
      </c>
      <c r="E7" s="13" t="s">
        <v>10</v>
      </c>
      <c r="F7" s="13" t="s">
        <v>29</v>
      </c>
      <c r="G7" s="13" t="s">
        <v>12</v>
      </c>
      <c r="H7" s="61"/>
      <c r="I7" s="64" t="s">
        <v>30</v>
      </c>
      <c r="J7" s="64" t="s">
        <v>31</v>
      </c>
      <c r="K7" s="64" t="s">
        <v>32</v>
      </c>
      <c r="L7" s="18"/>
      <c r="M7" s="20" t="s">
        <v>30</v>
      </c>
      <c r="N7" s="20" t="s">
        <v>31</v>
      </c>
      <c r="O7" s="20" t="s">
        <v>33</v>
      </c>
      <c r="P7" s="20" t="s">
        <v>32</v>
      </c>
      <c r="Q7" s="65"/>
      <c r="R7" s="66" t="s">
        <v>30</v>
      </c>
      <c r="S7" s="66" t="s">
        <v>31</v>
      </c>
      <c r="T7" s="67" t="s">
        <v>33</v>
      </c>
    </row>
    <row r="8" spans="1:20" s="9" customFormat="1" x14ac:dyDescent="0.3">
      <c r="A8" s="9" t="s">
        <v>34</v>
      </c>
      <c r="D8" s="68">
        <f>Enrollment!F17</f>
        <v>594</v>
      </c>
      <c r="E8" s="68">
        <f>Enrollment!L17</f>
        <v>7.2250000000000005</v>
      </c>
      <c r="F8" s="68">
        <f>Enrollment!O17</f>
        <v>5.125</v>
      </c>
      <c r="G8" s="68">
        <f>Enrollment!R17</f>
        <v>85.35</v>
      </c>
      <c r="H8" s="10"/>
      <c r="I8" s="69">
        <f>D8</f>
        <v>594</v>
      </c>
      <c r="J8" s="69">
        <f>D8</f>
        <v>594</v>
      </c>
      <c r="K8" s="69">
        <f>D8</f>
        <v>594</v>
      </c>
      <c r="L8" s="70"/>
      <c r="M8" s="71">
        <f>D8</f>
        <v>594</v>
      </c>
      <c r="N8" s="71">
        <f>D8</f>
        <v>594</v>
      </c>
      <c r="O8" s="71">
        <f>D8</f>
        <v>594</v>
      </c>
      <c r="P8" s="71">
        <f>D8</f>
        <v>594</v>
      </c>
      <c r="Q8" s="70"/>
      <c r="R8" s="72">
        <f>M8</f>
        <v>594</v>
      </c>
      <c r="S8" s="72">
        <f>N8</f>
        <v>594</v>
      </c>
      <c r="T8" s="73">
        <f>O8</f>
        <v>594</v>
      </c>
    </row>
    <row r="9" spans="1:20" x14ac:dyDescent="0.3">
      <c r="H9" s="61"/>
      <c r="I9" s="74"/>
      <c r="J9" s="74"/>
      <c r="K9" s="74"/>
      <c r="L9" s="65"/>
      <c r="M9" s="75"/>
      <c r="N9" s="75"/>
      <c r="O9" s="75"/>
      <c r="P9" s="75"/>
      <c r="Q9" s="65"/>
      <c r="R9" s="76"/>
      <c r="S9" s="76"/>
      <c r="T9" s="77"/>
    </row>
    <row r="10" spans="1:20" x14ac:dyDescent="0.3">
      <c r="A10" s="9" t="s">
        <v>35</v>
      </c>
      <c r="D10" s="78"/>
      <c r="E10" s="78"/>
      <c r="F10" s="78"/>
      <c r="G10" s="78"/>
      <c r="H10" s="61"/>
      <c r="I10" s="74"/>
      <c r="J10" s="74"/>
      <c r="K10" s="74"/>
      <c r="L10" s="65"/>
      <c r="M10" s="75"/>
      <c r="N10" s="75"/>
      <c r="O10" s="75"/>
      <c r="P10" s="75"/>
      <c r="Q10" s="65"/>
      <c r="R10" s="76"/>
      <c r="S10" s="76"/>
      <c r="T10" s="77"/>
    </row>
    <row r="11" spans="1:20" x14ac:dyDescent="0.3">
      <c r="B11" s="59" t="s">
        <v>62</v>
      </c>
      <c r="D11" s="79">
        <v>17626</v>
      </c>
      <c r="E11" s="79">
        <v>0</v>
      </c>
      <c r="F11" s="79">
        <v>10390</v>
      </c>
      <c r="G11" s="79">
        <v>19049</v>
      </c>
      <c r="H11" s="61"/>
      <c r="I11" s="80">
        <v>700</v>
      </c>
      <c r="J11" s="80">
        <v>700</v>
      </c>
      <c r="K11" s="81">
        <f>SUM(I11:J11)</f>
        <v>1400</v>
      </c>
      <c r="L11" s="65"/>
      <c r="M11" s="82">
        <f>2925/3</f>
        <v>975</v>
      </c>
      <c r="N11" s="82">
        <f t="shared" ref="N11:O11" si="0">2925/3</f>
        <v>975</v>
      </c>
      <c r="O11" s="82">
        <f t="shared" si="0"/>
        <v>975</v>
      </c>
      <c r="P11" s="83">
        <f>SUM(M11:O11)</f>
        <v>2925</v>
      </c>
      <c r="Q11" s="65"/>
      <c r="R11" s="84">
        <f>I11+M11</f>
        <v>1675</v>
      </c>
      <c r="S11" s="84">
        <f>J11+N11</f>
        <v>1675</v>
      </c>
      <c r="T11" s="85">
        <f>O11</f>
        <v>975</v>
      </c>
    </row>
    <row r="12" spans="1:20" x14ac:dyDescent="0.3">
      <c r="B12" t="s">
        <v>63</v>
      </c>
      <c r="D12" s="86">
        <v>0</v>
      </c>
      <c r="E12" s="86">
        <v>0</v>
      </c>
      <c r="F12" s="86">
        <v>0</v>
      </c>
      <c r="G12" s="86">
        <v>0</v>
      </c>
      <c r="H12" s="61"/>
      <c r="I12" s="74"/>
      <c r="J12" s="74"/>
      <c r="K12" s="74"/>
      <c r="L12" s="65"/>
      <c r="M12" s="75"/>
      <c r="N12" s="75"/>
      <c r="O12" s="75"/>
      <c r="P12" s="75"/>
      <c r="Q12" s="65"/>
      <c r="R12" s="76"/>
      <c r="S12" s="76"/>
      <c r="T12" s="77"/>
    </row>
    <row r="13" spans="1:20" x14ac:dyDescent="0.3">
      <c r="B13" t="s">
        <v>64</v>
      </c>
      <c r="D13" s="87">
        <v>3.3399999999999999E-2</v>
      </c>
      <c r="E13" s="87">
        <v>0</v>
      </c>
      <c r="F13" s="87">
        <v>0</v>
      </c>
      <c r="G13" s="87">
        <v>0</v>
      </c>
      <c r="H13" s="61"/>
      <c r="I13" s="74"/>
      <c r="J13" s="74"/>
      <c r="K13" s="74"/>
      <c r="L13" s="65"/>
      <c r="M13" s="75"/>
      <c r="N13" s="75"/>
      <c r="O13" s="75"/>
      <c r="P13" s="75"/>
      <c r="Q13" s="65"/>
      <c r="R13" s="76"/>
      <c r="S13" s="76"/>
      <c r="T13" s="77"/>
    </row>
    <row r="14" spans="1:20" ht="5.15" customHeight="1" x14ac:dyDescent="0.3">
      <c r="D14" s="88"/>
      <c r="E14" s="88"/>
      <c r="F14" s="88"/>
      <c r="G14" s="88"/>
      <c r="H14" s="61"/>
      <c r="I14" s="89"/>
      <c r="J14" s="89"/>
      <c r="K14" s="89"/>
      <c r="L14" s="65"/>
      <c r="M14" s="90"/>
      <c r="N14" s="90"/>
      <c r="O14" s="90"/>
      <c r="P14" s="90"/>
      <c r="Q14" s="65"/>
      <c r="R14" s="91"/>
      <c r="S14" s="91"/>
      <c r="T14" s="92"/>
    </row>
    <row r="15" spans="1:20" s="93" customFormat="1" x14ac:dyDescent="0.3">
      <c r="B15" s="93" t="s">
        <v>294</v>
      </c>
      <c r="D15" s="358">
        <v>18340</v>
      </c>
      <c r="E15" s="94">
        <f t="shared" ref="E15:G15" si="1">E11+E12+(E11*E13)</f>
        <v>0</v>
      </c>
      <c r="F15" s="94">
        <f t="shared" si="1"/>
        <v>10390</v>
      </c>
      <c r="G15" s="94">
        <f t="shared" si="1"/>
        <v>19049</v>
      </c>
      <c r="H15" s="95"/>
      <c r="I15" s="96">
        <f t="shared" ref="I15:T15" si="2">I11+I12+(I11*I13)</f>
        <v>700</v>
      </c>
      <c r="J15" s="96">
        <f t="shared" si="2"/>
        <v>700</v>
      </c>
      <c r="K15" s="96">
        <f t="shared" si="2"/>
        <v>1400</v>
      </c>
      <c r="L15" s="97"/>
      <c r="M15" s="98">
        <f t="shared" si="2"/>
        <v>975</v>
      </c>
      <c r="N15" s="98">
        <f t="shared" si="2"/>
        <v>975</v>
      </c>
      <c r="O15" s="98">
        <f t="shared" si="2"/>
        <v>975</v>
      </c>
      <c r="P15" s="98">
        <f t="shared" si="2"/>
        <v>2925</v>
      </c>
      <c r="Q15" s="97"/>
      <c r="R15" s="99">
        <f t="shared" si="2"/>
        <v>1675</v>
      </c>
      <c r="S15" s="99">
        <f t="shared" si="2"/>
        <v>1675</v>
      </c>
      <c r="T15" s="100">
        <f t="shared" si="2"/>
        <v>975</v>
      </c>
    </row>
    <row r="16" spans="1:20" x14ac:dyDescent="0.3">
      <c r="D16" s="79"/>
      <c r="E16" s="79"/>
      <c r="F16" s="79"/>
      <c r="G16" s="79"/>
      <c r="H16" s="61"/>
      <c r="I16" s="80"/>
      <c r="J16" s="80"/>
      <c r="K16" s="80"/>
      <c r="L16" s="65"/>
      <c r="M16" s="82"/>
      <c r="N16" s="82"/>
      <c r="O16" s="82"/>
      <c r="P16" s="82"/>
      <c r="Q16" s="65"/>
      <c r="R16" s="101"/>
      <c r="S16" s="101"/>
      <c r="T16" s="102"/>
    </row>
    <row r="17" spans="1:20" s="9" customFormat="1" ht="14.5" thickBot="1" x14ac:dyDescent="0.35">
      <c r="D17" s="103">
        <f>D8*D15</f>
        <v>10893960</v>
      </c>
      <c r="E17" s="103">
        <f t="shared" ref="E17:G17" si="3">E8*E15</f>
        <v>0</v>
      </c>
      <c r="F17" s="103">
        <f t="shared" si="3"/>
        <v>53248.75</v>
      </c>
      <c r="G17" s="103">
        <f t="shared" si="3"/>
        <v>1625832.15</v>
      </c>
      <c r="H17" s="104"/>
      <c r="I17" s="105">
        <f t="shared" ref="I17:T17" si="4">I8*I15</f>
        <v>415800</v>
      </c>
      <c r="J17" s="105">
        <f t="shared" si="4"/>
        <v>415800</v>
      </c>
      <c r="K17" s="105">
        <f t="shared" si="4"/>
        <v>831600</v>
      </c>
      <c r="L17" s="106"/>
      <c r="M17" s="107">
        <f t="shared" si="4"/>
        <v>579150</v>
      </c>
      <c r="N17" s="107">
        <f t="shared" si="4"/>
        <v>579150</v>
      </c>
      <c r="O17" s="107">
        <f t="shared" si="4"/>
        <v>579150</v>
      </c>
      <c r="P17" s="107">
        <f t="shared" si="4"/>
        <v>1737450</v>
      </c>
      <c r="Q17" s="106"/>
      <c r="R17" s="108">
        <f t="shared" si="4"/>
        <v>994950</v>
      </c>
      <c r="S17" s="108">
        <f t="shared" si="4"/>
        <v>994950</v>
      </c>
      <c r="T17" s="109">
        <f t="shared" si="4"/>
        <v>579150</v>
      </c>
    </row>
    <row r="18" spans="1:20" ht="14.5" thickTop="1" x14ac:dyDescent="0.3"/>
    <row r="19" spans="1:20" x14ac:dyDescent="0.3">
      <c r="D19" s="408" t="s">
        <v>36</v>
      </c>
      <c r="E19" s="409"/>
      <c r="F19" s="409"/>
      <c r="G19" s="410"/>
    </row>
    <row r="20" spans="1:20" x14ac:dyDescent="0.3">
      <c r="A20" s="9" t="s">
        <v>37</v>
      </c>
      <c r="B20" s="9"/>
      <c r="C20" s="9"/>
      <c r="D20" s="68">
        <f>Enrollment!D17</f>
        <v>594</v>
      </c>
    </row>
    <row r="21" spans="1:20" x14ac:dyDescent="0.3">
      <c r="A21" s="9" t="s">
        <v>38</v>
      </c>
    </row>
    <row r="22" spans="1:20" x14ac:dyDescent="0.3">
      <c r="B22" s="59" t="s">
        <v>39</v>
      </c>
      <c r="D22" s="110">
        <f>Enrollment!F17-Enrollment!D17</f>
        <v>0</v>
      </c>
    </row>
    <row r="23" spans="1:20" s="9" customFormat="1" x14ac:dyDescent="0.3">
      <c r="A23" s="9" t="s">
        <v>40</v>
      </c>
      <c r="D23" s="111">
        <f>D20+D22</f>
        <v>594</v>
      </c>
      <c r="F23" s="112"/>
      <c r="G23" s="112"/>
    </row>
    <row r="25" spans="1:20" x14ac:dyDescent="0.3">
      <c r="A25" s="59" t="s">
        <v>41</v>
      </c>
      <c r="D25" s="79">
        <f>D23*D15</f>
        <v>10893960</v>
      </c>
    </row>
    <row r="26" spans="1:20" x14ac:dyDescent="0.3">
      <c r="A26" s="59" t="s">
        <v>42</v>
      </c>
      <c r="D26" s="79"/>
    </row>
    <row r="27" spans="1:20" s="113" customFormat="1" x14ac:dyDescent="0.3">
      <c r="B27" s="113" t="s">
        <v>43</v>
      </c>
      <c r="D27" s="114">
        <f>D25*0.3</f>
        <v>3268188</v>
      </c>
    </row>
    <row r="28" spans="1:20" x14ac:dyDescent="0.3">
      <c r="D28" s="79"/>
    </row>
    <row r="29" spans="1:20" s="115" customFormat="1" x14ac:dyDescent="0.3">
      <c r="A29" s="115" t="s">
        <v>65</v>
      </c>
      <c r="D29" s="116">
        <f>Lease!E10</f>
        <v>1437326</v>
      </c>
    </row>
    <row r="30" spans="1:20" x14ac:dyDescent="0.3">
      <c r="D30" s="79"/>
    </row>
    <row r="31" spans="1:20" s="9" customFormat="1" x14ac:dyDescent="0.3">
      <c r="A31" s="9" t="s">
        <v>44</v>
      </c>
      <c r="D31" s="117">
        <f>IF(D29&gt;D27,D27,D29)</f>
        <v>1437326</v>
      </c>
    </row>
    <row r="33" spans="1:7" x14ac:dyDescent="0.3">
      <c r="D33" s="411" t="s">
        <v>45</v>
      </c>
      <c r="E33" s="412"/>
      <c r="F33" s="412"/>
      <c r="G33" s="413"/>
    </row>
    <row r="34" spans="1:7" x14ac:dyDescent="0.3">
      <c r="D34" s="6"/>
      <c r="E34" s="6"/>
      <c r="F34" s="6" t="s">
        <v>46</v>
      </c>
      <c r="G34" s="6"/>
    </row>
    <row r="35" spans="1:7" x14ac:dyDescent="0.3">
      <c r="D35" s="13" t="s">
        <v>47</v>
      </c>
      <c r="E35" s="6"/>
      <c r="F35" s="13" t="s">
        <v>53</v>
      </c>
      <c r="G35" s="6"/>
    </row>
    <row r="36" spans="1:7" x14ac:dyDescent="0.3">
      <c r="A36" s="9" t="s">
        <v>48</v>
      </c>
    </row>
    <row r="37" spans="1:7" x14ac:dyDescent="0.3">
      <c r="A37" s="9"/>
      <c r="B37" s="59" t="s">
        <v>49</v>
      </c>
      <c r="D37" s="79">
        <v>118819</v>
      </c>
      <c r="E37" s="79"/>
      <c r="F37" s="79">
        <v>118819</v>
      </c>
    </row>
    <row r="38" spans="1:7" x14ac:dyDescent="0.3">
      <c r="A38" s="9"/>
      <c r="B38" s="59" t="s">
        <v>50</v>
      </c>
      <c r="D38" s="118">
        <v>389313</v>
      </c>
      <c r="E38" s="118"/>
      <c r="F38" s="118">
        <f>D38</f>
        <v>389313</v>
      </c>
    </row>
    <row r="39" spans="1:7" x14ac:dyDescent="0.3">
      <c r="A39" s="9"/>
      <c r="B39" s="59" t="s">
        <v>51</v>
      </c>
      <c r="D39" s="118">
        <v>51325</v>
      </c>
      <c r="E39" s="118"/>
      <c r="F39" s="118">
        <f t="shared" ref="F39:F40" si="5">D39</f>
        <v>51325</v>
      </c>
    </row>
    <row r="40" spans="1:7" x14ac:dyDescent="0.3">
      <c r="A40" s="9"/>
      <c r="B40" s="59" t="s">
        <v>52</v>
      </c>
      <c r="D40" s="118">
        <v>24701</v>
      </c>
      <c r="E40" s="118"/>
      <c r="F40" s="118">
        <f t="shared" si="5"/>
        <v>24701</v>
      </c>
    </row>
    <row r="41" spans="1:7" s="9" customFormat="1" x14ac:dyDescent="0.3">
      <c r="D41" s="122">
        <f>SUM(D37:D40)</f>
        <v>584158</v>
      </c>
      <c r="E41" s="123"/>
      <c r="F41" s="122">
        <f>SUM(F37:F40)</f>
        <v>584158</v>
      </c>
    </row>
    <row r="42" spans="1:7" x14ac:dyDescent="0.3">
      <c r="A42" s="9"/>
      <c r="D42" s="119"/>
      <c r="E42" s="118"/>
      <c r="F42" s="119"/>
    </row>
    <row r="43" spans="1:7" x14ac:dyDescent="0.3">
      <c r="A43" s="9" t="s">
        <v>48</v>
      </c>
      <c r="C43" s="13" t="s">
        <v>32</v>
      </c>
      <c r="D43" s="120" t="s">
        <v>4</v>
      </c>
      <c r="E43" s="120" t="s">
        <v>5</v>
      </c>
      <c r="F43" s="120" t="s">
        <v>53</v>
      </c>
    </row>
    <row r="44" spans="1:7" x14ac:dyDescent="0.3">
      <c r="A44" s="9"/>
      <c r="B44" s="59" t="s">
        <v>54</v>
      </c>
      <c r="C44" s="118">
        <v>2468391</v>
      </c>
      <c r="D44" s="118">
        <v>50383.5</v>
      </c>
      <c r="E44" s="118">
        <v>1134962</v>
      </c>
      <c r="F44" s="118">
        <f>C44-D44-E44</f>
        <v>1283045.5</v>
      </c>
    </row>
    <row r="45" spans="1:7" x14ac:dyDescent="0.3">
      <c r="A45" s="9"/>
      <c r="B45" s="59" t="s">
        <v>55</v>
      </c>
      <c r="C45" s="118">
        <v>273940</v>
      </c>
      <c r="D45" s="118">
        <f>C45*0.6</f>
        <v>164364</v>
      </c>
      <c r="E45" s="118">
        <f>C45-D45</f>
        <v>109576</v>
      </c>
      <c r="F45" s="118">
        <f t="shared" ref="F45:F46" si="6">C45-D45-E45</f>
        <v>0</v>
      </c>
    </row>
    <row r="46" spans="1:7" x14ac:dyDescent="0.3">
      <c r="A46" s="9"/>
      <c r="B46" s="59" t="s">
        <v>56</v>
      </c>
      <c r="C46" s="118">
        <v>1098292</v>
      </c>
      <c r="D46" s="118">
        <f>C46*0.2</f>
        <v>219658.40000000002</v>
      </c>
      <c r="E46" s="118">
        <f>C46*0.3</f>
        <v>329487.59999999998</v>
      </c>
      <c r="F46" s="118">
        <f t="shared" si="6"/>
        <v>549146</v>
      </c>
    </row>
    <row r="47" spans="1:7" x14ac:dyDescent="0.3">
      <c r="A47" s="9"/>
      <c r="C47" s="121"/>
      <c r="D47" s="121"/>
      <c r="E47" s="121"/>
      <c r="F47" s="121"/>
    </row>
    <row r="48" spans="1:7" s="9" customFormat="1" ht="14.5" thickBot="1" x14ac:dyDescent="0.35">
      <c r="C48" s="103">
        <f>SUM(C44:C47)</f>
        <v>3840623</v>
      </c>
      <c r="D48" s="103">
        <f t="shared" ref="D48:F48" si="7">SUM(D44:D47)</f>
        <v>434405.9</v>
      </c>
      <c r="E48" s="103">
        <f t="shared" si="7"/>
        <v>1574025.6</v>
      </c>
      <c r="F48" s="103">
        <f t="shared" si="7"/>
        <v>1832191.5</v>
      </c>
    </row>
    <row r="49" spans="1:7" ht="14.5" thickTop="1" x14ac:dyDescent="0.3"/>
    <row r="50" spans="1:7" hidden="1" x14ac:dyDescent="0.3">
      <c r="D50" s="414" t="s">
        <v>57</v>
      </c>
      <c r="E50" s="415"/>
      <c r="F50" s="415"/>
      <c r="G50" s="416"/>
    </row>
    <row r="51" spans="1:7" hidden="1" x14ac:dyDescent="0.3">
      <c r="D51" s="6" t="s">
        <v>4</v>
      </c>
      <c r="E51" s="6"/>
      <c r="F51" s="6" t="s">
        <v>46</v>
      </c>
    </row>
    <row r="52" spans="1:7" hidden="1" x14ac:dyDescent="0.3">
      <c r="D52" s="13" t="s">
        <v>47</v>
      </c>
      <c r="E52" s="6"/>
      <c r="F52" s="13" t="s">
        <v>5</v>
      </c>
    </row>
    <row r="53" spans="1:7" hidden="1" x14ac:dyDescent="0.3">
      <c r="A53" s="59" t="s">
        <v>58</v>
      </c>
      <c r="D53" s="79"/>
      <c r="E53" s="79"/>
      <c r="F53" s="79"/>
    </row>
    <row r="54" spans="1:7" hidden="1" x14ac:dyDescent="0.3">
      <c r="A54" s="59" t="s">
        <v>59</v>
      </c>
      <c r="D54" s="118"/>
      <c r="E54" s="118"/>
      <c r="F54" s="118"/>
    </row>
    <row r="55" spans="1:7" hidden="1" x14ac:dyDescent="0.3">
      <c r="A55" s="59" t="s">
        <v>60</v>
      </c>
      <c r="D55" s="118"/>
      <c r="E55" s="118"/>
      <c r="F55" s="118"/>
    </row>
    <row r="56" spans="1:7" hidden="1" x14ac:dyDescent="0.3">
      <c r="A56" s="59" t="s">
        <v>61</v>
      </c>
      <c r="D56" s="118"/>
      <c r="E56" s="118"/>
      <c r="F56" s="118"/>
    </row>
    <row r="57" spans="1:7" ht="5.15" hidden="1" customHeight="1" x14ac:dyDescent="0.3">
      <c r="D57" s="121"/>
      <c r="F57" s="121"/>
    </row>
    <row r="58" spans="1:7" ht="14.5" hidden="1" thickBot="1" x14ac:dyDescent="0.35">
      <c r="D58" s="103">
        <f>SUM(D53:D56)</f>
        <v>0</v>
      </c>
      <c r="F58" s="103">
        <f>SUM(F53:F56)</f>
        <v>0</v>
      </c>
    </row>
    <row r="59" spans="1:7" hidden="1" x14ac:dyDescent="0.3"/>
    <row r="60" spans="1:7" hidden="1" x14ac:dyDescent="0.3"/>
    <row r="61" spans="1:7" hidden="1" x14ac:dyDescent="0.3"/>
    <row r="62" spans="1:7" hidden="1" x14ac:dyDescent="0.3"/>
  </sheetData>
  <mergeCells count="12">
    <mergeCell ref="D19:G19"/>
    <mergeCell ref="D33:G33"/>
    <mergeCell ref="D50:G50"/>
    <mergeCell ref="A1:R1"/>
    <mergeCell ref="A2:T2"/>
    <mergeCell ref="A3:T3"/>
    <mergeCell ref="D5:G5"/>
    <mergeCell ref="I5:T5"/>
    <mergeCell ref="E6:G6"/>
    <mergeCell ref="I6:K6"/>
    <mergeCell ref="M6:P6"/>
    <mergeCell ref="R6:T6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8DBCE-BB4A-47B6-B34B-89DC7EB23078}">
  <dimension ref="A1:R35"/>
  <sheetViews>
    <sheetView workbookViewId="0">
      <selection activeCell="K10" sqref="K10"/>
    </sheetView>
  </sheetViews>
  <sheetFormatPr defaultColWidth="9.8984375" defaultRowHeight="14" x14ac:dyDescent="0.3"/>
  <cols>
    <col min="1" max="1" width="11" style="125" customWidth="1"/>
    <col min="2" max="2" width="26.09765625" style="125" bestFit="1" customWidth="1"/>
    <col min="3" max="3" width="12.59765625" style="126" bestFit="1" customWidth="1"/>
    <col min="4" max="4" width="12.59765625" style="125" bestFit="1" customWidth="1"/>
    <col min="5" max="5" width="14.8984375" style="125" bestFit="1" customWidth="1"/>
    <col min="6" max="6" width="0.3984375" style="125" customWidth="1"/>
    <col min="7" max="7" width="13.69921875" style="125" bestFit="1" customWidth="1"/>
    <col min="8" max="8" width="14.8984375" style="125" bestFit="1" customWidth="1"/>
    <col min="9" max="9" width="0.3984375" style="125" customWidth="1"/>
    <col min="10" max="10" width="11.3984375" style="125" bestFit="1" customWidth="1"/>
    <col min="11" max="11" width="12.59765625" style="125" bestFit="1" customWidth="1"/>
    <col min="12" max="12" width="13.69921875" style="125" bestFit="1" customWidth="1"/>
    <col min="13" max="16384" width="9.8984375" style="125"/>
  </cols>
  <sheetData>
    <row r="1" spans="1:18" ht="20" x14ac:dyDescent="0.4">
      <c r="A1" s="394" t="s">
        <v>156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</row>
    <row r="2" spans="1:18" ht="20" x14ac:dyDescent="0.4">
      <c r="A2" s="127" t="s">
        <v>66</v>
      </c>
    </row>
    <row r="4" spans="1:18" s="128" customFormat="1" x14ac:dyDescent="0.3">
      <c r="C4" s="129"/>
    </row>
    <row r="5" spans="1:18" s="128" customFormat="1" x14ac:dyDescent="0.3">
      <c r="C5" s="130" t="s">
        <v>67</v>
      </c>
      <c r="G5" s="425" t="s">
        <v>68</v>
      </c>
      <c r="H5" s="425"/>
      <c r="J5" s="426" t="s">
        <v>69</v>
      </c>
      <c r="K5" s="426"/>
      <c r="L5" s="426"/>
    </row>
    <row r="6" spans="1:18" s="134" customFormat="1" x14ac:dyDescent="0.3">
      <c r="A6" s="425" t="s">
        <v>70</v>
      </c>
      <c r="B6" s="425"/>
      <c r="C6" s="131" t="s">
        <v>71</v>
      </c>
      <c r="D6" s="132" t="s">
        <v>72</v>
      </c>
      <c r="E6" s="132" t="s">
        <v>73</v>
      </c>
      <c r="F6" s="132"/>
      <c r="G6" s="132" t="s">
        <v>74</v>
      </c>
      <c r="H6" s="132" t="s">
        <v>75</v>
      </c>
      <c r="I6" s="132"/>
      <c r="J6" s="133" t="s">
        <v>74</v>
      </c>
      <c r="K6" s="133" t="s">
        <v>75</v>
      </c>
      <c r="L6" s="133" t="s">
        <v>76</v>
      </c>
    </row>
    <row r="7" spans="1:18" x14ac:dyDescent="0.3">
      <c r="A7" s="135">
        <v>1</v>
      </c>
      <c r="B7" s="125" t="s">
        <v>77</v>
      </c>
      <c r="C7" s="126">
        <v>11</v>
      </c>
      <c r="D7" s="126">
        <v>111225</v>
      </c>
      <c r="E7" s="126">
        <v>1223475</v>
      </c>
      <c r="F7" s="126"/>
      <c r="G7" s="126">
        <f>$E$35/$C$35</f>
        <v>158127.21921921923</v>
      </c>
      <c r="H7" s="126">
        <f>G7*C7</f>
        <v>1739399.4114114116</v>
      </c>
      <c r="I7" s="126"/>
      <c r="J7" s="142">
        <f>(H7-E7)/C7</f>
        <v>46902.219219219238</v>
      </c>
      <c r="K7" s="142">
        <f>H7-E7</f>
        <v>515924.41141141159</v>
      </c>
      <c r="L7" s="142">
        <f>K7</f>
        <v>515924.41141141159</v>
      </c>
    </row>
    <row r="8" spans="1:18" x14ac:dyDescent="0.3">
      <c r="A8" s="135">
        <v>2</v>
      </c>
      <c r="B8" s="125" t="s">
        <v>78</v>
      </c>
      <c r="C8" s="139">
        <v>12</v>
      </c>
      <c r="D8" s="139">
        <v>114006</v>
      </c>
      <c r="E8" s="139">
        <v>1368068</v>
      </c>
      <c r="F8" s="139"/>
      <c r="G8" s="139">
        <f t="shared" ref="G8:G34" si="0">$E$35/$C$35</f>
        <v>158127.21921921923</v>
      </c>
      <c r="H8" s="139">
        <f t="shared" ref="H8:H34" si="1">G8*C8</f>
        <v>1897526.6306306308</v>
      </c>
      <c r="I8" s="139"/>
      <c r="J8" s="143">
        <f t="shared" ref="J8:J34" si="2">(H8-E8)/C8</f>
        <v>44121.552552552566</v>
      </c>
      <c r="K8" s="143">
        <f t="shared" ref="K8:K34" si="3">H8-E8</f>
        <v>529458.63063063077</v>
      </c>
      <c r="L8" s="143">
        <f>L7+K8</f>
        <v>1045383.0420420424</v>
      </c>
    </row>
    <row r="9" spans="1:18" ht="14.5" thickBot="1" x14ac:dyDescent="0.35">
      <c r="A9" s="135">
        <v>3</v>
      </c>
      <c r="B9" s="125" t="s">
        <v>79</v>
      </c>
      <c r="C9" s="140">
        <v>12</v>
      </c>
      <c r="D9" s="140">
        <v>116856</v>
      </c>
      <c r="E9" s="140">
        <v>1402269</v>
      </c>
      <c r="F9" s="140"/>
      <c r="G9" s="140">
        <f t="shared" si="0"/>
        <v>158127.21921921923</v>
      </c>
      <c r="H9" s="140">
        <f t="shared" si="1"/>
        <v>1897526.6306306308</v>
      </c>
      <c r="I9" s="140"/>
      <c r="J9" s="143">
        <f t="shared" si="2"/>
        <v>41271.469219219231</v>
      </c>
      <c r="K9" s="143">
        <f t="shared" si="3"/>
        <v>495257.63063063077</v>
      </c>
      <c r="L9" s="143">
        <f t="shared" ref="L9:L34" si="4">L8+K9</f>
        <v>1540640.6726726731</v>
      </c>
    </row>
    <row r="10" spans="1:18" ht="14.5" thickBot="1" x14ac:dyDescent="0.35">
      <c r="A10" s="138">
        <v>4</v>
      </c>
      <c r="B10" s="141" t="s">
        <v>80</v>
      </c>
      <c r="C10" s="136">
        <v>12</v>
      </c>
      <c r="D10" s="136">
        <v>119777</v>
      </c>
      <c r="E10" s="144">
        <v>1437326</v>
      </c>
      <c r="F10" s="136"/>
      <c r="G10" s="136">
        <f t="shared" si="0"/>
        <v>158127.21921921923</v>
      </c>
      <c r="H10" s="136">
        <f t="shared" si="1"/>
        <v>1897526.6306306308</v>
      </c>
      <c r="I10" s="136"/>
      <c r="J10" s="145">
        <f t="shared" si="2"/>
        <v>38350.052552552566</v>
      </c>
      <c r="K10" s="144">
        <f t="shared" si="3"/>
        <v>460200.63063063077</v>
      </c>
      <c r="L10" s="146">
        <f t="shared" si="4"/>
        <v>2000841.3033033039</v>
      </c>
    </row>
    <row r="11" spans="1:18" x14ac:dyDescent="0.3">
      <c r="A11" s="135">
        <v>5</v>
      </c>
      <c r="B11" s="125" t="s">
        <v>81</v>
      </c>
      <c r="C11" s="126">
        <v>12</v>
      </c>
      <c r="D11" s="126">
        <v>122772</v>
      </c>
      <c r="E11" s="126">
        <v>1473259</v>
      </c>
      <c r="F11" s="126"/>
      <c r="G11" s="126">
        <f t="shared" si="0"/>
        <v>158127.21921921923</v>
      </c>
      <c r="H11" s="126">
        <f t="shared" si="1"/>
        <v>1897526.6306306308</v>
      </c>
      <c r="I11" s="126"/>
      <c r="J11" s="142">
        <f t="shared" si="2"/>
        <v>35355.635885885895</v>
      </c>
      <c r="K11" s="142">
        <f t="shared" si="3"/>
        <v>424267.63063063077</v>
      </c>
      <c r="L11" s="142">
        <f t="shared" si="4"/>
        <v>2425108.9339339347</v>
      </c>
    </row>
    <row r="12" spans="1:18" x14ac:dyDescent="0.3">
      <c r="A12" s="135">
        <v>6</v>
      </c>
      <c r="B12" s="125" t="s">
        <v>82</v>
      </c>
      <c r="C12" s="126">
        <v>12</v>
      </c>
      <c r="D12" s="126">
        <v>125841</v>
      </c>
      <c r="E12" s="126">
        <v>1510091</v>
      </c>
      <c r="F12" s="126"/>
      <c r="G12" s="126">
        <f t="shared" si="0"/>
        <v>158127.21921921923</v>
      </c>
      <c r="H12" s="126">
        <f t="shared" si="1"/>
        <v>1897526.6306306308</v>
      </c>
      <c r="I12" s="126"/>
      <c r="J12" s="142">
        <f t="shared" si="2"/>
        <v>32286.302552552563</v>
      </c>
      <c r="K12" s="142">
        <f t="shared" si="3"/>
        <v>387435.63063063077</v>
      </c>
      <c r="L12" s="142">
        <f t="shared" si="4"/>
        <v>2812544.5645645652</v>
      </c>
    </row>
    <row r="13" spans="1:18" x14ac:dyDescent="0.3">
      <c r="A13" s="135">
        <v>7</v>
      </c>
      <c r="B13" s="125" t="s">
        <v>83</v>
      </c>
      <c r="C13" s="126">
        <v>12</v>
      </c>
      <c r="D13" s="126">
        <v>128987</v>
      </c>
      <c r="E13" s="126">
        <v>1547843</v>
      </c>
      <c r="F13" s="126"/>
      <c r="G13" s="126">
        <f t="shared" si="0"/>
        <v>158127.21921921923</v>
      </c>
      <c r="H13" s="126">
        <f t="shared" si="1"/>
        <v>1897526.6306306308</v>
      </c>
      <c r="I13" s="126"/>
      <c r="J13" s="142">
        <f t="shared" si="2"/>
        <v>29140.302552552563</v>
      </c>
      <c r="K13" s="142">
        <f t="shared" si="3"/>
        <v>349683.63063063077</v>
      </c>
      <c r="L13" s="142">
        <f t="shared" si="4"/>
        <v>3162228.1951951962</v>
      </c>
    </row>
    <row r="14" spans="1:18" x14ac:dyDescent="0.3">
      <c r="A14" s="135">
        <v>8</v>
      </c>
      <c r="B14" s="125" t="s">
        <v>84</v>
      </c>
      <c r="C14" s="126">
        <v>12</v>
      </c>
      <c r="D14" s="126">
        <v>132212</v>
      </c>
      <c r="E14" s="126">
        <v>1586539</v>
      </c>
      <c r="F14" s="126"/>
      <c r="G14" s="126">
        <f t="shared" si="0"/>
        <v>158127.21921921923</v>
      </c>
      <c r="H14" s="126">
        <f t="shared" si="1"/>
        <v>1897526.6306306308</v>
      </c>
      <c r="I14" s="126"/>
      <c r="J14" s="142">
        <f t="shared" si="2"/>
        <v>25915.635885885898</v>
      </c>
      <c r="K14" s="142">
        <f t="shared" si="3"/>
        <v>310987.63063063077</v>
      </c>
      <c r="L14" s="142">
        <f t="shared" si="4"/>
        <v>3473215.8258258272</v>
      </c>
    </row>
    <row r="15" spans="1:18" x14ac:dyDescent="0.3">
      <c r="A15" s="135">
        <v>9</v>
      </c>
      <c r="B15" s="125" t="s">
        <v>85</v>
      </c>
      <c r="C15" s="126">
        <v>12</v>
      </c>
      <c r="D15" s="126">
        <v>135517</v>
      </c>
      <c r="E15" s="126">
        <v>1626202</v>
      </c>
      <c r="F15" s="126"/>
      <c r="G15" s="126">
        <f t="shared" si="0"/>
        <v>158127.21921921923</v>
      </c>
      <c r="H15" s="126">
        <f t="shared" si="1"/>
        <v>1897526.6306306308</v>
      </c>
      <c r="I15" s="126"/>
      <c r="J15" s="142">
        <f t="shared" si="2"/>
        <v>22610.385885885898</v>
      </c>
      <c r="K15" s="142">
        <f t="shared" si="3"/>
        <v>271324.63063063077</v>
      </c>
      <c r="L15" s="142">
        <f t="shared" si="4"/>
        <v>3744540.4564564582</v>
      </c>
    </row>
    <row r="16" spans="1:18" x14ac:dyDescent="0.3">
      <c r="A16" s="135">
        <v>10</v>
      </c>
      <c r="B16" s="125" t="s">
        <v>86</v>
      </c>
      <c r="C16" s="126">
        <v>12</v>
      </c>
      <c r="D16" s="126">
        <v>138905</v>
      </c>
      <c r="E16" s="126">
        <v>1666857</v>
      </c>
      <c r="F16" s="126"/>
      <c r="G16" s="126">
        <f t="shared" si="0"/>
        <v>158127.21921921923</v>
      </c>
      <c r="H16" s="126">
        <f t="shared" si="1"/>
        <v>1897526.6306306308</v>
      </c>
      <c r="I16" s="126"/>
      <c r="J16" s="142">
        <f t="shared" si="2"/>
        <v>19222.469219219231</v>
      </c>
      <c r="K16" s="142">
        <f t="shared" si="3"/>
        <v>230669.63063063077</v>
      </c>
      <c r="L16" s="142">
        <f t="shared" si="4"/>
        <v>3975210.0870870892</v>
      </c>
    </row>
    <row r="17" spans="1:12" x14ac:dyDescent="0.3">
      <c r="A17" s="135">
        <v>11</v>
      </c>
      <c r="B17" s="125" t="s">
        <v>87</v>
      </c>
      <c r="C17" s="126">
        <v>12</v>
      </c>
      <c r="D17" s="126">
        <v>142377</v>
      </c>
      <c r="E17" s="126">
        <v>1708529</v>
      </c>
      <c r="F17" s="126"/>
      <c r="G17" s="126">
        <f t="shared" si="0"/>
        <v>158127.21921921923</v>
      </c>
      <c r="H17" s="126">
        <f t="shared" si="1"/>
        <v>1897526.6306306308</v>
      </c>
      <c r="I17" s="126"/>
      <c r="J17" s="142">
        <f t="shared" si="2"/>
        <v>15749.802552552565</v>
      </c>
      <c r="K17" s="142">
        <f t="shared" si="3"/>
        <v>188997.63063063077</v>
      </c>
      <c r="L17" s="142">
        <f t="shared" si="4"/>
        <v>4164207.7177177202</v>
      </c>
    </row>
    <row r="18" spans="1:12" x14ac:dyDescent="0.3">
      <c r="A18" s="135">
        <v>12</v>
      </c>
      <c r="B18" s="125" t="s">
        <v>88</v>
      </c>
      <c r="C18" s="126">
        <v>12</v>
      </c>
      <c r="D18" s="126">
        <v>145937</v>
      </c>
      <c r="E18" s="126">
        <v>1751242</v>
      </c>
      <c r="F18" s="126"/>
      <c r="G18" s="126">
        <f t="shared" si="0"/>
        <v>158127.21921921923</v>
      </c>
      <c r="H18" s="126">
        <f t="shared" si="1"/>
        <v>1897526.6306306308</v>
      </c>
      <c r="I18" s="126"/>
      <c r="J18" s="142">
        <f t="shared" si="2"/>
        <v>12190.385885885897</v>
      </c>
      <c r="K18" s="142">
        <f t="shared" si="3"/>
        <v>146284.63063063077</v>
      </c>
      <c r="L18" s="142">
        <f t="shared" si="4"/>
        <v>4310492.3483483512</v>
      </c>
    </row>
    <row r="19" spans="1:12" x14ac:dyDescent="0.3">
      <c r="A19" s="135">
        <v>13</v>
      </c>
      <c r="B19" s="125" t="s">
        <v>89</v>
      </c>
      <c r="C19" s="126">
        <v>12</v>
      </c>
      <c r="D19" s="126">
        <v>149585</v>
      </c>
      <c r="E19" s="126">
        <v>1795023</v>
      </c>
      <c r="F19" s="126"/>
      <c r="G19" s="126">
        <f t="shared" si="0"/>
        <v>158127.21921921923</v>
      </c>
      <c r="H19" s="126">
        <f t="shared" si="1"/>
        <v>1897526.6306306308</v>
      </c>
      <c r="I19" s="126"/>
      <c r="J19" s="142">
        <f t="shared" si="2"/>
        <v>8541.9692192192306</v>
      </c>
      <c r="K19" s="142">
        <f t="shared" si="3"/>
        <v>102503.63063063077</v>
      </c>
      <c r="L19" s="142">
        <f t="shared" si="4"/>
        <v>4412995.9789789822</v>
      </c>
    </row>
    <row r="20" spans="1:12" x14ac:dyDescent="0.3">
      <c r="A20" s="135">
        <v>14</v>
      </c>
      <c r="B20" s="125" t="s">
        <v>90</v>
      </c>
      <c r="C20" s="126">
        <v>12</v>
      </c>
      <c r="D20" s="126">
        <v>153325</v>
      </c>
      <c r="E20" s="126">
        <v>1839899</v>
      </c>
      <c r="F20" s="126"/>
      <c r="G20" s="126">
        <f t="shared" si="0"/>
        <v>158127.21921921923</v>
      </c>
      <c r="H20" s="126">
        <f t="shared" si="1"/>
        <v>1897526.6306306308</v>
      </c>
      <c r="I20" s="126"/>
      <c r="J20" s="142">
        <f t="shared" si="2"/>
        <v>4802.3025525525636</v>
      </c>
      <c r="K20" s="142">
        <f t="shared" si="3"/>
        <v>57627.630630630767</v>
      </c>
      <c r="L20" s="142">
        <f t="shared" si="4"/>
        <v>4470623.6096096132</v>
      </c>
    </row>
    <row r="21" spans="1:12" x14ac:dyDescent="0.3">
      <c r="A21" s="135">
        <v>15</v>
      </c>
      <c r="B21" s="125" t="s">
        <v>91</v>
      </c>
      <c r="C21" s="126">
        <v>12</v>
      </c>
      <c r="D21" s="126">
        <v>157158</v>
      </c>
      <c r="E21" s="126">
        <v>1885896</v>
      </c>
      <c r="F21" s="126"/>
      <c r="G21" s="126">
        <f t="shared" si="0"/>
        <v>158127.21921921923</v>
      </c>
      <c r="H21" s="126">
        <f t="shared" si="1"/>
        <v>1897526.6306306308</v>
      </c>
      <c r="I21" s="126"/>
      <c r="J21" s="142">
        <f t="shared" si="2"/>
        <v>969.21921921923058</v>
      </c>
      <c r="K21" s="142">
        <f t="shared" si="3"/>
        <v>11630.630630630767</v>
      </c>
      <c r="L21" s="142">
        <f t="shared" si="4"/>
        <v>4482254.2402402442</v>
      </c>
    </row>
    <row r="22" spans="1:12" x14ac:dyDescent="0.3">
      <c r="A22" s="135">
        <v>16</v>
      </c>
      <c r="B22" s="125" t="s">
        <v>92</v>
      </c>
      <c r="C22" s="126">
        <v>12</v>
      </c>
      <c r="D22" s="126">
        <v>161087</v>
      </c>
      <c r="E22" s="126">
        <v>1933044</v>
      </c>
      <c r="F22" s="126"/>
      <c r="G22" s="126">
        <f t="shared" si="0"/>
        <v>158127.21921921923</v>
      </c>
      <c r="H22" s="126">
        <f t="shared" si="1"/>
        <v>1897526.6306306308</v>
      </c>
      <c r="I22" s="126"/>
      <c r="J22" s="142">
        <f t="shared" si="2"/>
        <v>-2959.7807807807694</v>
      </c>
      <c r="K22" s="142">
        <f t="shared" si="3"/>
        <v>-35517.369369369233</v>
      </c>
      <c r="L22" s="142">
        <f t="shared" si="4"/>
        <v>4446736.8708708752</v>
      </c>
    </row>
    <row r="23" spans="1:12" x14ac:dyDescent="0.3">
      <c r="A23" s="135">
        <v>17</v>
      </c>
      <c r="B23" s="125" t="s">
        <v>93</v>
      </c>
      <c r="C23" s="126">
        <v>12</v>
      </c>
      <c r="D23" s="126">
        <v>165114</v>
      </c>
      <c r="E23" s="126">
        <v>1981370</v>
      </c>
      <c r="F23" s="126"/>
      <c r="G23" s="126">
        <f t="shared" si="0"/>
        <v>158127.21921921923</v>
      </c>
      <c r="H23" s="126">
        <f t="shared" si="1"/>
        <v>1897526.6306306308</v>
      </c>
      <c r="I23" s="126"/>
      <c r="J23" s="142">
        <f t="shared" si="2"/>
        <v>-6986.9474474474364</v>
      </c>
      <c r="K23" s="142">
        <f t="shared" si="3"/>
        <v>-83843.369369369233</v>
      </c>
      <c r="L23" s="142">
        <f t="shared" si="4"/>
        <v>4362893.5015015062</v>
      </c>
    </row>
    <row r="24" spans="1:12" x14ac:dyDescent="0.3">
      <c r="A24" s="135">
        <v>18</v>
      </c>
      <c r="B24" s="125" t="s">
        <v>94</v>
      </c>
      <c r="C24" s="126">
        <v>12</v>
      </c>
      <c r="D24" s="126">
        <v>169242</v>
      </c>
      <c r="E24" s="126">
        <v>2030904</v>
      </c>
      <c r="F24" s="126"/>
      <c r="G24" s="126">
        <f t="shared" si="0"/>
        <v>158127.21921921923</v>
      </c>
      <c r="H24" s="126">
        <f t="shared" si="1"/>
        <v>1897526.6306306308</v>
      </c>
      <c r="I24" s="126"/>
      <c r="J24" s="142">
        <f t="shared" si="2"/>
        <v>-11114.780780780769</v>
      </c>
      <c r="K24" s="142">
        <f t="shared" si="3"/>
        <v>-133377.36936936923</v>
      </c>
      <c r="L24" s="142">
        <f t="shared" si="4"/>
        <v>4229516.1321321372</v>
      </c>
    </row>
    <row r="25" spans="1:12" x14ac:dyDescent="0.3">
      <c r="A25" s="135">
        <v>19</v>
      </c>
      <c r="B25" s="125" t="s">
        <v>95</v>
      </c>
      <c r="C25" s="126">
        <v>12</v>
      </c>
      <c r="D25" s="126">
        <v>173473</v>
      </c>
      <c r="E25" s="126">
        <v>2081676</v>
      </c>
      <c r="F25" s="126"/>
      <c r="G25" s="126">
        <f t="shared" si="0"/>
        <v>158127.21921921923</v>
      </c>
      <c r="H25" s="126">
        <f t="shared" si="1"/>
        <v>1897526.6306306308</v>
      </c>
      <c r="I25" s="126"/>
      <c r="J25" s="142">
        <f t="shared" si="2"/>
        <v>-15345.780780780769</v>
      </c>
      <c r="K25" s="142">
        <f t="shared" si="3"/>
        <v>-184149.36936936923</v>
      </c>
      <c r="L25" s="142">
        <f t="shared" si="4"/>
        <v>4045366.7627627682</v>
      </c>
    </row>
    <row r="26" spans="1:12" x14ac:dyDescent="0.3">
      <c r="A26" s="135">
        <v>20</v>
      </c>
      <c r="B26" s="125" t="s">
        <v>96</v>
      </c>
      <c r="C26" s="126">
        <v>12</v>
      </c>
      <c r="D26" s="126">
        <v>177810</v>
      </c>
      <c r="E26" s="126">
        <v>2133718</v>
      </c>
      <c r="F26" s="126"/>
      <c r="G26" s="126">
        <f t="shared" si="0"/>
        <v>158127.21921921923</v>
      </c>
      <c r="H26" s="126">
        <f t="shared" si="1"/>
        <v>1897526.6306306308</v>
      </c>
      <c r="I26" s="126"/>
      <c r="J26" s="142">
        <f t="shared" si="2"/>
        <v>-19682.614114114102</v>
      </c>
      <c r="K26" s="142">
        <f t="shared" si="3"/>
        <v>-236191.36936936923</v>
      </c>
      <c r="L26" s="142">
        <f t="shared" si="4"/>
        <v>3809175.3933933992</v>
      </c>
    </row>
    <row r="27" spans="1:12" x14ac:dyDescent="0.3">
      <c r="A27" s="135">
        <v>21</v>
      </c>
      <c r="B27" s="125" t="s">
        <v>97</v>
      </c>
      <c r="C27" s="126">
        <v>12</v>
      </c>
      <c r="D27" s="126">
        <v>182255</v>
      </c>
      <c r="E27" s="126">
        <v>2187061</v>
      </c>
      <c r="F27" s="126"/>
      <c r="G27" s="126">
        <f t="shared" si="0"/>
        <v>158127.21921921923</v>
      </c>
      <c r="H27" s="126">
        <f t="shared" si="1"/>
        <v>1897526.6306306308</v>
      </c>
      <c r="I27" s="126"/>
      <c r="J27" s="142">
        <f t="shared" si="2"/>
        <v>-24127.864114114102</v>
      </c>
      <c r="K27" s="142">
        <f t="shared" si="3"/>
        <v>-289534.36936936923</v>
      </c>
      <c r="L27" s="142">
        <f t="shared" si="4"/>
        <v>3519641.0240240302</v>
      </c>
    </row>
    <row r="28" spans="1:12" x14ac:dyDescent="0.3">
      <c r="A28" s="135">
        <v>22</v>
      </c>
      <c r="B28" s="125" t="s">
        <v>98</v>
      </c>
      <c r="C28" s="126">
        <v>12</v>
      </c>
      <c r="D28" s="126">
        <v>186811</v>
      </c>
      <c r="E28" s="126">
        <v>2241738</v>
      </c>
      <c r="F28" s="126"/>
      <c r="G28" s="126">
        <f t="shared" si="0"/>
        <v>158127.21921921923</v>
      </c>
      <c r="H28" s="126">
        <f t="shared" si="1"/>
        <v>1897526.6306306308</v>
      </c>
      <c r="I28" s="126"/>
      <c r="J28" s="142">
        <f t="shared" si="2"/>
        <v>-28684.280780780769</v>
      </c>
      <c r="K28" s="142">
        <f t="shared" si="3"/>
        <v>-344211.36936936923</v>
      </c>
      <c r="L28" s="142">
        <f t="shared" si="4"/>
        <v>3175429.6546546612</v>
      </c>
    </row>
    <row r="29" spans="1:12" x14ac:dyDescent="0.3">
      <c r="A29" s="135">
        <v>23</v>
      </c>
      <c r="B29" s="125" t="s">
        <v>99</v>
      </c>
      <c r="C29" s="126">
        <v>12</v>
      </c>
      <c r="D29" s="126">
        <v>191482</v>
      </c>
      <c r="E29" s="126">
        <v>2297781</v>
      </c>
      <c r="F29" s="126"/>
      <c r="G29" s="126">
        <f t="shared" si="0"/>
        <v>158127.21921921923</v>
      </c>
      <c r="H29" s="126">
        <f t="shared" si="1"/>
        <v>1897526.6306306308</v>
      </c>
      <c r="I29" s="126"/>
      <c r="J29" s="142">
        <f t="shared" si="2"/>
        <v>-33354.530780780769</v>
      </c>
      <c r="K29" s="142">
        <f t="shared" si="3"/>
        <v>-400254.36936936923</v>
      </c>
      <c r="L29" s="142">
        <f t="shared" si="4"/>
        <v>2775175.2852852922</v>
      </c>
    </row>
    <row r="30" spans="1:12" x14ac:dyDescent="0.3">
      <c r="A30" s="135">
        <v>24</v>
      </c>
      <c r="B30" s="125" t="s">
        <v>100</v>
      </c>
      <c r="C30" s="126">
        <v>12</v>
      </c>
      <c r="D30" s="126">
        <v>196269</v>
      </c>
      <c r="E30" s="126">
        <v>2355226</v>
      </c>
      <c r="F30" s="126"/>
      <c r="G30" s="126">
        <f t="shared" si="0"/>
        <v>158127.21921921923</v>
      </c>
      <c r="H30" s="126">
        <f t="shared" si="1"/>
        <v>1897526.6306306308</v>
      </c>
      <c r="I30" s="126"/>
      <c r="J30" s="142">
        <f t="shared" si="2"/>
        <v>-38141.614114114105</v>
      </c>
      <c r="K30" s="142">
        <f t="shared" si="3"/>
        <v>-457699.36936936923</v>
      </c>
      <c r="L30" s="142">
        <f t="shared" si="4"/>
        <v>2317475.9159159232</v>
      </c>
    </row>
    <row r="31" spans="1:12" x14ac:dyDescent="0.3">
      <c r="A31" s="135">
        <v>25</v>
      </c>
      <c r="B31" s="125" t="s">
        <v>101</v>
      </c>
      <c r="C31" s="126">
        <v>12</v>
      </c>
      <c r="D31" s="126">
        <v>201176</v>
      </c>
      <c r="E31" s="126">
        <v>2414107</v>
      </c>
      <c r="F31" s="126"/>
      <c r="G31" s="126">
        <f t="shared" si="0"/>
        <v>158127.21921921923</v>
      </c>
      <c r="H31" s="126">
        <f t="shared" si="1"/>
        <v>1897526.6306306308</v>
      </c>
      <c r="I31" s="126"/>
      <c r="J31" s="142">
        <f t="shared" si="2"/>
        <v>-43048.364114114105</v>
      </c>
      <c r="K31" s="142">
        <f t="shared" si="3"/>
        <v>-516580.36936936923</v>
      </c>
      <c r="L31" s="142">
        <f t="shared" si="4"/>
        <v>1800895.546546554</v>
      </c>
    </row>
    <row r="32" spans="1:12" x14ac:dyDescent="0.3">
      <c r="A32" s="135">
        <v>26</v>
      </c>
      <c r="B32" s="125" t="s">
        <v>102</v>
      </c>
      <c r="C32" s="126">
        <v>12</v>
      </c>
      <c r="D32" s="126">
        <v>206205</v>
      </c>
      <c r="E32" s="126">
        <v>2474459</v>
      </c>
      <c r="F32" s="126"/>
      <c r="G32" s="126">
        <f t="shared" si="0"/>
        <v>158127.21921921923</v>
      </c>
      <c r="H32" s="126">
        <f t="shared" si="1"/>
        <v>1897526.6306306308</v>
      </c>
      <c r="I32" s="126"/>
      <c r="J32" s="142">
        <f t="shared" si="2"/>
        <v>-48077.697447447434</v>
      </c>
      <c r="K32" s="142">
        <f t="shared" si="3"/>
        <v>-576932.36936936923</v>
      </c>
      <c r="L32" s="142">
        <f t="shared" si="4"/>
        <v>1223963.1771771847</v>
      </c>
    </row>
    <row r="33" spans="1:12" x14ac:dyDescent="0.3">
      <c r="A33" s="135">
        <v>27</v>
      </c>
      <c r="B33" s="125" t="s">
        <v>103</v>
      </c>
      <c r="C33" s="126">
        <v>12</v>
      </c>
      <c r="D33" s="126">
        <v>211360</v>
      </c>
      <c r="E33" s="126">
        <v>2536321</v>
      </c>
      <c r="F33" s="126"/>
      <c r="G33" s="126">
        <f t="shared" si="0"/>
        <v>158127.21921921923</v>
      </c>
      <c r="H33" s="126">
        <f t="shared" si="1"/>
        <v>1897526.6306306308</v>
      </c>
      <c r="I33" s="126"/>
      <c r="J33" s="142">
        <f t="shared" si="2"/>
        <v>-53232.864114114105</v>
      </c>
      <c r="K33" s="142">
        <f t="shared" si="3"/>
        <v>-638794.36936936923</v>
      </c>
      <c r="L33" s="142">
        <f t="shared" si="4"/>
        <v>585168.80780781549</v>
      </c>
    </row>
    <row r="34" spans="1:12" x14ac:dyDescent="0.3">
      <c r="A34" s="135">
        <v>28</v>
      </c>
      <c r="B34" s="125" t="s">
        <v>104</v>
      </c>
      <c r="C34" s="126">
        <v>10</v>
      </c>
      <c r="D34" s="126">
        <v>216644</v>
      </c>
      <c r="E34" s="126">
        <v>2166441</v>
      </c>
      <c r="F34" s="126"/>
      <c r="G34" s="126">
        <f t="shared" si="0"/>
        <v>158127.21921921923</v>
      </c>
      <c r="H34" s="126">
        <f t="shared" si="1"/>
        <v>1581272.1921921922</v>
      </c>
      <c r="I34" s="126"/>
      <c r="J34" s="142">
        <f t="shared" si="2"/>
        <v>-58516.880780780783</v>
      </c>
      <c r="K34" s="142">
        <f t="shared" si="3"/>
        <v>-585168.80780780781</v>
      </c>
      <c r="L34" s="142">
        <f t="shared" si="4"/>
        <v>7.6834112405776978E-9</v>
      </c>
    </row>
    <row r="35" spans="1:12" s="128" customFormat="1" x14ac:dyDescent="0.3">
      <c r="C35" s="137">
        <f>SUM(C7:C34)</f>
        <v>333</v>
      </c>
      <c r="D35" s="129"/>
      <c r="E35" s="137">
        <f>SUM(E7:E34)</f>
        <v>52656364</v>
      </c>
      <c r="F35" s="129"/>
      <c r="G35" s="147">
        <f>SUM(G7:G34)</f>
        <v>4427562.1381381396</v>
      </c>
      <c r="H35" s="137">
        <f>SUM(H7:H34)</f>
        <v>52656363.99999997</v>
      </c>
      <c r="I35" s="129"/>
      <c r="J35" s="129"/>
      <c r="K35" s="148">
        <f>SUM(K7:K34)</f>
        <v>7.6834112405776978E-9</v>
      </c>
      <c r="L35" s="137"/>
    </row>
  </sheetData>
  <mergeCells count="4">
    <mergeCell ref="G5:H5"/>
    <mergeCell ref="J5:L5"/>
    <mergeCell ref="A6:B6"/>
    <mergeCell ref="A1:R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493-F3BB-4B6C-872B-8F3D42775D45}">
  <dimension ref="A1:R165"/>
  <sheetViews>
    <sheetView workbookViewId="0">
      <selection activeCell="H21" sqref="H21"/>
    </sheetView>
  </sheetViews>
  <sheetFormatPr defaultColWidth="9.8984375" defaultRowHeight="14" x14ac:dyDescent="0.3"/>
  <cols>
    <col min="1" max="1" width="9.8984375" style="59"/>
    <col min="2" max="2" width="27" style="59" customWidth="1"/>
    <col min="3" max="3" width="14" style="59" customWidth="1"/>
    <col min="4" max="4" width="9.8984375" style="59"/>
    <col min="5" max="7" width="14" style="59" customWidth="1"/>
    <col min="8" max="8" width="9.8984375" style="59"/>
    <col min="9" max="9" width="14" style="59" customWidth="1"/>
    <col min="10" max="16384" width="9.8984375" style="59"/>
  </cols>
  <sheetData>
    <row r="1" spans="1:18" ht="20" x14ac:dyDescent="0.4">
      <c r="A1" s="394" t="s">
        <v>156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</row>
    <row r="2" spans="1:18" ht="20" x14ac:dyDescent="0.4">
      <c r="A2" s="1" t="s">
        <v>105</v>
      </c>
    </row>
    <row r="3" spans="1:18" ht="20" x14ac:dyDescent="0.4">
      <c r="A3" s="1" t="s">
        <v>19</v>
      </c>
    </row>
    <row r="6" spans="1:18" x14ac:dyDescent="0.3">
      <c r="C6" s="6" t="s">
        <v>301</v>
      </c>
      <c r="E6" s="420" t="s">
        <v>106</v>
      </c>
      <c r="F6" s="420"/>
      <c r="G6" s="420"/>
      <c r="I6" s="6" t="s">
        <v>107</v>
      </c>
    </row>
    <row r="7" spans="1:18" x14ac:dyDescent="0.3">
      <c r="C7" s="13" t="s">
        <v>108</v>
      </c>
      <c r="E7" s="13" t="s">
        <v>110</v>
      </c>
      <c r="F7" s="13" t="s">
        <v>25</v>
      </c>
      <c r="G7" s="13" t="s">
        <v>111</v>
      </c>
      <c r="I7" s="13" t="s">
        <v>112</v>
      </c>
    </row>
    <row r="8" spans="1:18" x14ac:dyDescent="0.3">
      <c r="A8" s="9" t="s">
        <v>113</v>
      </c>
    </row>
    <row r="9" spans="1:18" x14ac:dyDescent="0.3">
      <c r="A9" s="6"/>
      <c r="B9" s="59" t="s">
        <v>114</v>
      </c>
      <c r="C9" s="118"/>
      <c r="D9" s="118"/>
      <c r="E9" s="118"/>
      <c r="F9" s="118"/>
      <c r="G9" s="118"/>
      <c r="H9" s="118"/>
      <c r="I9" s="118">
        <f>C9*0.1</f>
        <v>0</v>
      </c>
      <c r="J9" s="118" t="s">
        <v>299</v>
      </c>
      <c r="K9" s="118"/>
      <c r="L9" s="118"/>
      <c r="M9" s="118"/>
    </row>
    <row r="10" spans="1:18" x14ac:dyDescent="0.3">
      <c r="A10" s="6"/>
      <c r="B10" s="59" t="s">
        <v>115</v>
      </c>
      <c r="C10" s="118"/>
      <c r="D10" s="118"/>
      <c r="E10" s="118"/>
      <c r="F10" s="118"/>
      <c r="G10" s="118"/>
      <c r="H10" s="118"/>
      <c r="I10" s="118">
        <f t="shared" ref="I10:I13" si="0">C10*0.1</f>
        <v>0</v>
      </c>
      <c r="J10" s="118"/>
      <c r="K10" s="118"/>
      <c r="L10" s="118"/>
      <c r="M10" s="118"/>
    </row>
    <row r="11" spans="1:18" x14ac:dyDescent="0.3">
      <c r="A11" s="6"/>
      <c r="B11" s="59" t="s">
        <v>116</v>
      </c>
      <c r="C11" s="118"/>
      <c r="D11" s="118"/>
      <c r="E11" s="118"/>
      <c r="F11" s="118"/>
      <c r="G11" s="118"/>
      <c r="H11" s="118"/>
      <c r="I11" s="118">
        <f t="shared" si="0"/>
        <v>0</v>
      </c>
      <c r="J11" s="118"/>
      <c r="K11" s="118"/>
      <c r="L11" s="118"/>
      <c r="M11" s="118"/>
    </row>
    <row r="12" spans="1:18" x14ac:dyDescent="0.3">
      <c r="A12" s="6"/>
      <c r="B12" s="59" t="s">
        <v>117</v>
      </c>
      <c r="C12" s="118"/>
      <c r="D12" s="118"/>
      <c r="E12" s="118"/>
      <c r="F12" s="118"/>
      <c r="G12" s="118"/>
      <c r="H12" s="118"/>
      <c r="I12" s="118">
        <f t="shared" si="0"/>
        <v>0</v>
      </c>
      <c r="J12" s="149"/>
      <c r="K12" s="118"/>
      <c r="L12" s="118"/>
      <c r="M12" s="118"/>
    </row>
    <row r="13" spans="1:18" x14ac:dyDescent="0.3">
      <c r="A13" s="6"/>
      <c r="B13" s="59" t="s">
        <v>118</v>
      </c>
      <c r="C13" s="118"/>
      <c r="D13" s="118"/>
      <c r="E13" s="118"/>
      <c r="F13" s="118"/>
      <c r="G13" s="118"/>
      <c r="H13" s="118"/>
      <c r="I13" s="118">
        <f t="shared" si="0"/>
        <v>0</v>
      </c>
      <c r="J13" s="118" t="s">
        <v>300</v>
      </c>
      <c r="K13" s="118"/>
      <c r="L13" s="118"/>
      <c r="M13" s="118"/>
    </row>
    <row r="14" spans="1:18" s="9" customFormat="1" x14ac:dyDescent="0.3">
      <c r="C14" s="122">
        <f>SUM(C9:C13)</f>
        <v>0</v>
      </c>
      <c r="D14" s="123"/>
      <c r="E14" s="122">
        <f>SUM(E9:E13)</f>
        <v>0</v>
      </c>
      <c r="F14" s="122">
        <f>SUM(F9:F13)</f>
        <v>0</v>
      </c>
      <c r="G14" s="122">
        <f>SUM(G9:G13)</f>
        <v>0</v>
      </c>
      <c r="H14" s="123"/>
      <c r="I14" s="122">
        <f>SUM(I9:I13)</f>
        <v>0</v>
      </c>
      <c r="J14" s="123"/>
      <c r="K14" s="123"/>
      <c r="L14" s="123"/>
      <c r="M14" s="123"/>
    </row>
    <row r="15" spans="1:18" x14ac:dyDescent="0.3"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</row>
    <row r="16" spans="1:18" x14ac:dyDescent="0.3"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</row>
    <row r="17" spans="3:13" x14ac:dyDescent="0.3"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</row>
    <row r="165" spans="1:5" x14ac:dyDescent="0.3">
      <c r="A165" s="150"/>
      <c r="B165" s="150"/>
      <c r="C165" s="150"/>
      <c r="D165" s="150"/>
      <c r="E165" s="150"/>
    </row>
  </sheetData>
  <mergeCells count="2">
    <mergeCell ref="E6:G6"/>
    <mergeCell ref="A1: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1C7B-81AE-4881-BA11-9F71AA5CBFD9}">
  <dimension ref="A1:T31"/>
  <sheetViews>
    <sheetView topLeftCell="A6" workbookViewId="0">
      <selection activeCell="E32" sqref="E32"/>
    </sheetView>
  </sheetViews>
  <sheetFormatPr defaultRowHeight="14" x14ac:dyDescent="0.3"/>
  <cols>
    <col min="1" max="1" width="33.09765625" customWidth="1"/>
    <col min="2" max="2" width="17.59765625" customWidth="1"/>
    <col min="3" max="3" width="20" customWidth="1"/>
    <col min="4" max="6" width="14.69921875" customWidth="1"/>
    <col min="7" max="7" width="65" customWidth="1"/>
  </cols>
  <sheetData>
    <row r="1" spans="1:20" ht="20" x14ac:dyDescent="0.4">
      <c r="A1" s="394" t="s">
        <v>156</v>
      </c>
      <c r="B1" s="394"/>
      <c r="C1" s="394"/>
      <c r="D1" s="394"/>
      <c r="E1" s="394"/>
      <c r="F1" s="394"/>
      <c r="G1" s="39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x14ac:dyDescent="0.4">
      <c r="A2" s="390" t="s">
        <v>119</v>
      </c>
      <c r="B2" s="390"/>
      <c r="C2" s="390"/>
      <c r="D2" s="390"/>
      <c r="E2" s="390"/>
      <c r="F2" s="390"/>
      <c r="G2" s="390"/>
    </row>
    <row r="5" spans="1:20" x14ac:dyDescent="0.3">
      <c r="D5" s="6" t="s">
        <v>5</v>
      </c>
      <c r="E5" s="420" t="s">
        <v>158</v>
      </c>
      <c r="F5" s="420"/>
    </row>
    <row r="6" spans="1:20" x14ac:dyDescent="0.3">
      <c r="A6" s="151" t="s">
        <v>120</v>
      </c>
      <c r="B6" s="13" t="s">
        <v>121</v>
      </c>
      <c r="C6" s="13" t="s">
        <v>122</v>
      </c>
      <c r="D6" s="13" t="s">
        <v>123</v>
      </c>
      <c r="E6" s="13" t="s">
        <v>157</v>
      </c>
      <c r="F6" s="13" t="s">
        <v>123</v>
      </c>
      <c r="G6" s="13" t="s">
        <v>124</v>
      </c>
    </row>
    <row r="7" spans="1:20" x14ac:dyDescent="0.3">
      <c r="A7" t="s">
        <v>125</v>
      </c>
      <c r="B7" t="s">
        <v>126</v>
      </c>
      <c r="C7" s="25" t="s">
        <v>127</v>
      </c>
      <c r="D7" s="57">
        <v>8825</v>
      </c>
      <c r="E7" s="58">
        <v>0.1</v>
      </c>
      <c r="F7" s="57">
        <f>D7*(1+E7)</f>
        <v>9707.5</v>
      </c>
      <c r="G7" s="152" t="s">
        <v>128</v>
      </c>
    </row>
    <row r="8" spans="1:20" x14ac:dyDescent="0.3">
      <c r="C8" s="25"/>
      <c r="D8" s="57"/>
      <c r="E8" s="58"/>
      <c r="F8" s="57"/>
      <c r="G8" s="152" t="s">
        <v>129</v>
      </c>
    </row>
    <row r="9" spans="1:20" ht="5.15" customHeight="1" x14ac:dyDescent="0.3">
      <c r="C9" s="25"/>
      <c r="D9" s="57"/>
      <c r="E9" s="58"/>
      <c r="F9" s="57"/>
      <c r="G9" s="152"/>
    </row>
    <row r="10" spans="1:20" x14ac:dyDescent="0.3">
      <c r="A10" s="153" t="s">
        <v>130</v>
      </c>
      <c r="B10" s="153" t="s">
        <v>126</v>
      </c>
      <c r="C10" s="154" t="s">
        <v>127</v>
      </c>
      <c r="D10" s="155">
        <v>1579</v>
      </c>
      <c r="E10" s="158">
        <v>0.1</v>
      </c>
      <c r="F10" s="155">
        <f>D10*(1+E10)</f>
        <v>1736.9</v>
      </c>
      <c r="G10" s="156" t="s">
        <v>131</v>
      </c>
    </row>
    <row r="11" spans="1:20" ht="5.15" customHeight="1" x14ac:dyDescent="0.3">
      <c r="C11" s="25"/>
      <c r="D11" s="57"/>
      <c r="E11" s="58"/>
      <c r="F11" s="57"/>
      <c r="G11" s="152"/>
    </row>
    <row r="12" spans="1:20" x14ac:dyDescent="0.3">
      <c r="A12" t="s">
        <v>132</v>
      </c>
      <c r="B12" t="s">
        <v>133</v>
      </c>
      <c r="C12" s="25" t="s">
        <v>127</v>
      </c>
      <c r="D12" s="57">
        <v>9377</v>
      </c>
      <c r="E12" s="58">
        <v>0.1</v>
      </c>
      <c r="F12" s="57">
        <f>D12*(1+E12)</f>
        <v>10314.700000000001</v>
      </c>
      <c r="G12" s="152" t="s">
        <v>134</v>
      </c>
    </row>
    <row r="13" spans="1:20" x14ac:dyDescent="0.3">
      <c r="C13" s="25"/>
      <c r="D13" s="57"/>
      <c r="E13" s="58"/>
      <c r="F13" s="57"/>
      <c r="G13" s="152" t="s">
        <v>135</v>
      </c>
    </row>
    <row r="14" spans="1:20" ht="5.15" customHeight="1" x14ac:dyDescent="0.3">
      <c r="C14" s="25"/>
      <c r="D14" s="57"/>
      <c r="E14" s="58"/>
      <c r="F14" s="57"/>
      <c r="G14" s="152"/>
    </row>
    <row r="15" spans="1:20" x14ac:dyDescent="0.3">
      <c r="A15" s="153" t="s">
        <v>136</v>
      </c>
      <c r="B15" s="153" t="s">
        <v>137</v>
      </c>
      <c r="C15" s="154" t="s">
        <v>127</v>
      </c>
      <c r="D15" s="155">
        <v>6896</v>
      </c>
      <c r="E15" s="158">
        <v>0.1</v>
      </c>
      <c r="F15" s="155">
        <f>D15*(1+E15)</f>
        <v>7585.6</v>
      </c>
      <c r="G15" s="156" t="s">
        <v>138</v>
      </c>
    </row>
    <row r="16" spans="1:20" x14ac:dyDescent="0.3">
      <c r="A16" s="153"/>
      <c r="B16" s="153"/>
      <c r="C16" s="154"/>
      <c r="D16" s="155"/>
      <c r="E16" s="158"/>
      <c r="F16" s="155"/>
      <c r="G16" s="156" t="s">
        <v>139</v>
      </c>
    </row>
    <row r="17" spans="1:7" ht="5.15" customHeight="1" x14ac:dyDescent="0.3">
      <c r="C17" s="25"/>
      <c r="D17" s="57"/>
      <c r="E17" s="58"/>
      <c r="F17" s="57"/>
      <c r="G17" s="152"/>
    </row>
    <row r="18" spans="1:7" x14ac:dyDescent="0.3">
      <c r="A18" t="s">
        <v>140</v>
      </c>
      <c r="B18" t="s">
        <v>141</v>
      </c>
      <c r="C18" s="25" t="s">
        <v>127</v>
      </c>
      <c r="D18" s="57">
        <v>41911</v>
      </c>
      <c r="E18" s="58">
        <v>0.1</v>
      </c>
      <c r="F18" s="57">
        <f>D18*(1+E18)</f>
        <v>46102.100000000006</v>
      </c>
      <c r="G18" s="152" t="s">
        <v>142</v>
      </c>
    </row>
    <row r="19" spans="1:7" ht="5.15" customHeight="1" x14ac:dyDescent="0.3">
      <c r="A19" s="153"/>
      <c r="B19" s="153"/>
      <c r="C19" s="154"/>
      <c r="D19" s="155"/>
      <c r="E19" s="158"/>
      <c r="F19" s="155"/>
      <c r="G19" s="156"/>
    </row>
    <row r="20" spans="1:7" x14ac:dyDescent="0.3">
      <c r="A20" s="153" t="s">
        <v>143</v>
      </c>
      <c r="B20" s="153" t="s">
        <v>141</v>
      </c>
      <c r="C20" s="154" t="s">
        <v>127</v>
      </c>
      <c r="D20" s="155">
        <v>11307</v>
      </c>
      <c r="E20" s="158">
        <v>0.1</v>
      </c>
      <c r="F20" s="155">
        <f>D20*(1+E20)</f>
        <v>12437.7</v>
      </c>
      <c r="G20" s="156" t="s">
        <v>144</v>
      </c>
    </row>
    <row r="21" spans="1:7" ht="5.15" customHeight="1" x14ac:dyDescent="0.3">
      <c r="C21" s="25"/>
      <c r="D21" s="57"/>
      <c r="E21" s="58"/>
      <c r="F21" s="57"/>
      <c r="G21" s="152"/>
    </row>
    <row r="22" spans="1:7" x14ac:dyDescent="0.3">
      <c r="A22" t="s">
        <v>145</v>
      </c>
      <c r="B22" t="s">
        <v>141</v>
      </c>
      <c r="C22" s="25" t="s">
        <v>127</v>
      </c>
      <c r="D22" s="57">
        <v>9362</v>
      </c>
      <c r="E22" s="58">
        <v>0.1</v>
      </c>
      <c r="F22" s="57">
        <f>D22*(1+E22)</f>
        <v>10298.200000000001</v>
      </c>
      <c r="G22" s="152" t="s">
        <v>146</v>
      </c>
    </row>
    <row r="23" spans="1:7" ht="5.15" customHeight="1" x14ac:dyDescent="0.3">
      <c r="C23" s="25"/>
      <c r="D23" s="57"/>
      <c r="E23" s="58"/>
      <c r="F23" s="57"/>
      <c r="G23" s="152"/>
    </row>
    <row r="24" spans="1:7" x14ac:dyDescent="0.3">
      <c r="A24" s="153" t="s">
        <v>147</v>
      </c>
      <c r="B24" s="153" t="s">
        <v>141</v>
      </c>
      <c r="C24" s="154" t="s">
        <v>127</v>
      </c>
      <c r="D24" s="155">
        <v>183</v>
      </c>
      <c r="E24" s="158">
        <v>0.1</v>
      </c>
      <c r="F24" s="155">
        <f>D24*(1+E24)</f>
        <v>201.3</v>
      </c>
      <c r="G24" s="156" t="s">
        <v>148</v>
      </c>
    </row>
    <row r="25" spans="1:7" ht="5.15" customHeight="1" x14ac:dyDescent="0.3">
      <c r="C25" s="25"/>
      <c r="D25" s="57"/>
      <c r="E25" s="58"/>
      <c r="F25" s="57"/>
      <c r="G25" s="152"/>
    </row>
    <row r="26" spans="1:7" x14ac:dyDescent="0.3">
      <c r="A26" t="s">
        <v>149</v>
      </c>
      <c r="B26" t="s">
        <v>150</v>
      </c>
      <c r="C26" s="25" t="s">
        <v>127</v>
      </c>
      <c r="D26" s="57">
        <v>3913</v>
      </c>
      <c r="E26" s="58">
        <v>0.1</v>
      </c>
      <c r="F26" s="57">
        <f>D26*(1+E26)</f>
        <v>4304.3</v>
      </c>
      <c r="G26" s="152" t="s">
        <v>151</v>
      </c>
    </row>
    <row r="27" spans="1:7" ht="5.15" customHeight="1" x14ac:dyDescent="0.3">
      <c r="C27" s="25"/>
      <c r="D27" s="57"/>
      <c r="E27" s="58"/>
      <c r="F27" s="57"/>
      <c r="G27" s="152"/>
    </row>
    <row r="28" spans="1:7" x14ac:dyDescent="0.3">
      <c r="A28" s="153" t="s">
        <v>152</v>
      </c>
      <c r="B28" s="153" t="s">
        <v>150</v>
      </c>
      <c r="C28" s="154" t="s">
        <v>127</v>
      </c>
      <c r="D28" s="155">
        <v>394</v>
      </c>
      <c r="E28" s="158">
        <v>0.1</v>
      </c>
      <c r="F28" s="155">
        <f>D28*(1+E28)</f>
        <v>433.40000000000003</v>
      </c>
      <c r="G28" s="156" t="s">
        <v>153</v>
      </c>
    </row>
    <row r="29" spans="1:7" x14ac:dyDescent="0.3">
      <c r="D29" s="157">
        <f>SUM(D7:D28)</f>
        <v>93747</v>
      </c>
      <c r="E29" s="159"/>
      <c r="F29" s="157">
        <f>SUM(F7:F28)</f>
        <v>103121.7</v>
      </c>
      <c r="G29" s="57"/>
    </row>
    <row r="30" spans="1:7" x14ac:dyDescent="0.3">
      <c r="D30" s="57"/>
      <c r="E30" s="58"/>
      <c r="F30" s="57"/>
      <c r="G30" s="57"/>
    </row>
    <row r="31" spans="1:7" x14ac:dyDescent="0.3">
      <c r="A31" t="s">
        <v>154</v>
      </c>
      <c r="B31" t="s">
        <v>126</v>
      </c>
      <c r="D31" s="57"/>
      <c r="E31" s="58">
        <v>0.1</v>
      </c>
      <c r="F31" s="57">
        <f>D31*(1+E31)</f>
        <v>0</v>
      </c>
      <c r="G31" s="57" t="s">
        <v>155</v>
      </c>
    </row>
  </sheetData>
  <mergeCells count="3">
    <mergeCell ref="A1:G1"/>
    <mergeCell ref="A2:G2"/>
    <mergeCell ref="E5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6B90-6A00-4A57-AE88-B2DF17145442}">
  <dimension ref="A1:P337"/>
  <sheetViews>
    <sheetView topLeftCell="A5" workbookViewId="0">
      <selection activeCell="O12" sqref="O12"/>
    </sheetView>
  </sheetViews>
  <sheetFormatPr defaultColWidth="9.69921875" defaultRowHeight="14" x14ac:dyDescent="0.3"/>
  <cols>
    <col min="1" max="1" width="3.09765625" style="59" customWidth="1"/>
    <col min="2" max="2" width="5.8984375" style="59" customWidth="1"/>
    <col min="3" max="3" width="57" style="59" customWidth="1"/>
    <col min="4" max="5" width="12.09765625" style="59" bestFit="1" customWidth="1"/>
    <col min="6" max="6" width="14.8984375" style="59" bestFit="1" customWidth="1"/>
    <col min="7" max="7" width="0.8984375" style="59" customWidth="1"/>
    <col min="8" max="10" width="14.8984375" style="59" customWidth="1"/>
    <col min="11" max="14" width="0" style="59" hidden="1" customWidth="1"/>
    <col min="15" max="16384" width="9.69921875" style="59"/>
  </cols>
  <sheetData>
    <row r="1" spans="1:10" ht="22.5" x14ac:dyDescent="0.45">
      <c r="A1" s="389" t="s">
        <v>0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0" ht="18" x14ac:dyDescent="0.4">
      <c r="A2" s="390" t="s">
        <v>159</v>
      </c>
      <c r="B2" s="390"/>
      <c r="C2" s="390"/>
      <c r="D2" s="390"/>
      <c r="E2" s="390"/>
      <c r="F2" s="390"/>
      <c r="G2" s="390"/>
      <c r="H2" s="390"/>
      <c r="I2" s="390"/>
      <c r="J2" s="390"/>
    </row>
    <row r="3" spans="1:10" ht="18" x14ac:dyDescent="0.4">
      <c r="A3" s="390" t="s">
        <v>160</v>
      </c>
      <c r="B3" s="390"/>
      <c r="C3" s="390"/>
      <c r="D3" s="390"/>
      <c r="E3" s="390"/>
      <c r="F3" s="390"/>
      <c r="G3" s="390"/>
      <c r="H3" s="390"/>
      <c r="I3" s="390"/>
      <c r="J3" s="390"/>
    </row>
    <row r="4" spans="1:10" ht="15" customHeight="1" thickBot="1" x14ac:dyDescent="0.35"/>
    <row r="5" spans="1:10" ht="14.5" customHeight="1" x14ac:dyDescent="0.3">
      <c r="D5" s="391" t="s">
        <v>295</v>
      </c>
      <c r="E5" s="392"/>
      <c r="F5" s="393"/>
      <c r="G5" s="160"/>
      <c r="H5" s="427" t="s">
        <v>2</v>
      </c>
      <c r="I5" s="428"/>
      <c r="J5" s="429"/>
    </row>
    <row r="6" spans="1:10" ht="16.5" customHeight="1" x14ac:dyDescent="0.3">
      <c r="D6" s="161" t="s">
        <v>161</v>
      </c>
      <c r="E6" s="162" t="s">
        <v>296</v>
      </c>
      <c r="F6" s="163" t="s">
        <v>162</v>
      </c>
      <c r="G6" s="160"/>
      <c r="H6" s="164" t="s">
        <v>163</v>
      </c>
      <c r="I6" s="275" t="s">
        <v>297</v>
      </c>
      <c r="J6" s="165" t="s">
        <v>162</v>
      </c>
    </row>
    <row r="7" spans="1:10" ht="14.5" thickBot="1" x14ac:dyDescent="0.35">
      <c r="C7" s="166"/>
      <c r="D7" s="167" t="s">
        <v>109</v>
      </c>
      <c r="E7" s="168" t="s">
        <v>164</v>
      </c>
      <c r="F7" s="169" t="s">
        <v>109</v>
      </c>
      <c r="G7" s="160"/>
      <c r="H7" s="164" t="s">
        <v>109</v>
      </c>
      <c r="I7" s="276">
        <v>45016</v>
      </c>
      <c r="J7" s="165" t="s">
        <v>109</v>
      </c>
    </row>
    <row r="8" spans="1:10" s="128" customFormat="1" x14ac:dyDescent="0.3">
      <c r="C8" s="170" t="s">
        <v>165</v>
      </c>
      <c r="D8" s="171">
        <f>D49</f>
        <v>14085972.317399999</v>
      </c>
      <c r="E8" s="172">
        <f>E49</f>
        <v>14334866.819999998</v>
      </c>
      <c r="F8" s="173">
        <f>IFERROR(E8/D8,0)</f>
        <v>1.0176696714285423</v>
      </c>
      <c r="G8" s="174"/>
      <c r="H8" s="171">
        <f>H49</f>
        <v>15887877.6</v>
      </c>
      <c r="I8" s="175">
        <f>I49</f>
        <v>11677114.279999999</v>
      </c>
      <c r="J8" s="176">
        <f>IFERROR(I8/H8,0)</f>
        <v>0.73497005540878535</v>
      </c>
    </row>
    <row r="9" spans="1:10" s="93" customFormat="1" ht="3" customHeight="1" x14ac:dyDescent="0.3">
      <c r="C9" s="177"/>
      <c r="D9" s="178"/>
      <c r="E9" s="179"/>
      <c r="F9" s="180"/>
      <c r="G9" s="181"/>
      <c r="H9" s="178"/>
      <c r="I9" s="182"/>
      <c r="J9" s="183"/>
    </row>
    <row r="10" spans="1:10" s="128" customFormat="1" x14ac:dyDescent="0.3">
      <c r="C10" s="170" t="s">
        <v>166</v>
      </c>
      <c r="D10" s="184">
        <f>D173</f>
        <v>12658211.807982201</v>
      </c>
      <c r="E10" s="185">
        <f>E173</f>
        <v>13316254.020000003</v>
      </c>
      <c r="F10" s="186">
        <f>IFERROR(E10/D10,0)</f>
        <v>1.0519854006237157</v>
      </c>
      <c r="G10" s="174"/>
      <c r="H10" s="184">
        <f>H173</f>
        <v>14298735.467563</v>
      </c>
      <c r="I10" s="187">
        <f>I173</f>
        <v>10979487.580000002</v>
      </c>
      <c r="J10" s="188">
        <f>IFERROR(I10/H10,0)</f>
        <v>0.76786423561070938</v>
      </c>
    </row>
    <row r="11" spans="1:10" s="93" customFormat="1" ht="3" customHeight="1" x14ac:dyDescent="0.3">
      <c r="C11" s="177"/>
      <c r="D11" s="178"/>
      <c r="E11" s="179"/>
      <c r="F11" s="180"/>
      <c r="G11" s="181"/>
      <c r="H11" s="178"/>
      <c r="I11" s="182"/>
      <c r="J11" s="183"/>
    </row>
    <row r="12" spans="1:10" s="189" customFormat="1" x14ac:dyDescent="0.3">
      <c r="C12" s="190" t="s">
        <v>167</v>
      </c>
      <c r="D12" s="191">
        <f>D8-D10</f>
        <v>1427760.5094177984</v>
      </c>
      <c r="E12" s="192">
        <f>E8-E10</f>
        <v>1018612.7999999952</v>
      </c>
      <c r="F12" s="193">
        <f>IFERROR(E12/D12,0)</f>
        <v>0.71343393607052319</v>
      </c>
      <c r="G12" s="194"/>
      <c r="H12" s="191">
        <f>H8-H10</f>
        <v>1589142.1324370001</v>
      </c>
      <c r="I12" s="195">
        <f>I8-I10</f>
        <v>697626.69999999739</v>
      </c>
      <c r="J12" s="196">
        <f>IFERROR(I12/H12,0)</f>
        <v>0.43899578631784475</v>
      </c>
    </row>
    <row r="13" spans="1:10" s="93" customFormat="1" ht="3" customHeight="1" x14ac:dyDescent="0.3">
      <c r="C13" s="177"/>
      <c r="D13" s="178"/>
      <c r="E13" s="179"/>
      <c r="F13" s="180"/>
      <c r="G13" s="181"/>
      <c r="H13" s="178"/>
      <c r="I13" s="182"/>
      <c r="J13" s="183"/>
    </row>
    <row r="14" spans="1:10" x14ac:dyDescent="0.3">
      <c r="C14" s="197" t="s">
        <v>168</v>
      </c>
      <c r="D14" s="198">
        <f>D184</f>
        <v>-732068.87363063102</v>
      </c>
      <c r="E14" s="199">
        <f>E184</f>
        <v>-803972.3</v>
      </c>
      <c r="F14" s="180">
        <f>IFERROR(E14/D14,0)</f>
        <v>1.0982194831106127</v>
      </c>
      <c r="G14" s="160"/>
      <c r="H14" s="198">
        <f>H184</f>
        <v>-718128.89793063072</v>
      </c>
      <c r="I14" s="200">
        <f>I184</f>
        <v>-565232.75</v>
      </c>
      <c r="J14" s="183">
        <f>IFERROR(I14/H14,0)</f>
        <v>0.78709094095611776</v>
      </c>
    </row>
    <row r="15" spans="1:10" ht="3" customHeight="1" x14ac:dyDescent="0.3">
      <c r="C15" s="177"/>
      <c r="D15" s="178"/>
      <c r="E15" s="179"/>
      <c r="F15" s="180"/>
      <c r="G15" s="160"/>
      <c r="H15" s="178"/>
      <c r="I15" s="182"/>
      <c r="J15" s="183"/>
    </row>
    <row r="16" spans="1:10" s="201" customFormat="1" x14ac:dyDescent="0.3">
      <c r="C16" s="190" t="s">
        <v>169</v>
      </c>
      <c r="D16" s="191">
        <f>D12+D14</f>
        <v>695691.63578716735</v>
      </c>
      <c r="E16" s="192">
        <f>E12+E14</f>
        <v>214640.49999999511</v>
      </c>
      <c r="F16" s="193">
        <f>IFERROR(E16/D16,0)</f>
        <v>0.30852821704135019</v>
      </c>
      <c r="G16" s="202"/>
      <c r="H16" s="191">
        <f>H12+H14</f>
        <v>871013.23450636934</v>
      </c>
      <c r="I16" s="195">
        <f>I12+I14</f>
        <v>132393.94999999739</v>
      </c>
      <c r="J16" s="196">
        <f>IFERROR(I16/H16,0)</f>
        <v>0.15199992922613767</v>
      </c>
    </row>
    <row r="17" spans="1:13" ht="3" customHeight="1" x14ac:dyDescent="0.3">
      <c r="C17" s="177"/>
      <c r="D17" s="178"/>
      <c r="E17" s="179"/>
      <c r="F17" s="180"/>
      <c r="G17" s="160"/>
      <c r="H17" s="178"/>
      <c r="I17" s="182"/>
      <c r="J17" s="183"/>
    </row>
    <row r="18" spans="1:13" s="93" customFormat="1" ht="14.5" thickBot="1" x14ac:dyDescent="0.35">
      <c r="C18" s="203" t="s">
        <v>170</v>
      </c>
      <c r="D18" s="204">
        <f>260+321</f>
        <v>581</v>
      </c>
      <c r="E18" s="205">
        <v>591.20000000000005</v>
      </c>
      <c r="F18" s="206">
        <f>IFERROR(E18/D18,0)</f>
        <v>1.0175559380378658</v>
      </c>
      <c r="G18" s="181"/>
      <c r="H18" s="204">
        <f>[1]Enrollment!F17</f>
        <v>596</v>
      </c>
      <c r="I18" s="207">
        <f>'[1]Narrative - Pg 1'!G44</f>
        <v>586.6</v>
      </c>
      <c r="J18" s="208">
        <f>IFERROR(I18/H18,0)</f>
        <v>0.98422818791946309</v>
      </c>
    </row>
    <row r="19" spans="1:13" x14ac:dyDescent="0.3">
      <c r="C19" s="209"/>
      <c r="D19" s="210"/>
      <c r="E19" s="211"/>
      <c r="F19" s="212"/>
      <c r="G19" s="160"/>
      <c r="H19" s="213"/>
      <c r="I19" s="277"/>
      <c r="J19" s="214"/>
    </row>
    <row r="20" spans="1:13" x14ac:dyDescent="0.3">
      <c r="A20" s="215" t="s">
        <v>171</v>
      </c>
      <c r="B20" s="215"/>
      <c r="C20" s="215"/>
      <c r="D20" s="216"/>
      <c r="E20" s="217"/>
      <c r="F20" s="218"/>
      <c r="G20" s="160"/>
      <c r="H20" s="219"/>
      <c r="I20" s="278"/>
      <c r="J20" s="220"/>
    </row>
    <row r="21" spans="1:13" x14ac:dyDescent="0.3">
      <c r="A21" s="9" t="s">
        <v>172</v>
      </c>
      <c r="D21" s="216"/>
      <c r="E21" s="217"/>
      <c r="F21" s="218"/>
      <c r="G21" s="160"/>
      <c r="H21" s="219"/>
      <c r="I21" s="278"/>
      <c r="J21" s="220"/>
    </row>
    <row r="22" spans="1:13" x14ac:dyDescent="0.3">
      <c r="A22" s="221"/>
      <c r="B22" s="59" t="s">
        <v>173</v>
      </c>
      <c r="D22" s="222">
        <v>9787125.3423999995</v>
      </c>
      <c r="E22" s="223">
        <f>'[1]P&amp;L from QB'!H5</f>
        <v>9960591.1899999995</v>
      </c>
      <c r="F22" s="218">
        <f t="shared" ref="F22:F24" si="0">IFERROR(E22/D22,0)</f>
        <v>1.0177238812757927</v>
      </c>
      <c r="G22" s="224"/>
      <c r="H22" s="225">
        <f>'[1]Budgeted Revenue'!D17</f>
        <v>10505096</v>
      </c>
      <c r="I22" s="279">
        <f>'[1]P&amp;L from QB'!L5</f>
        <v>7788213.3600000003</v>
      </c>
      <c r="J22" s="226">
        <f>IFERROR(I22/H22,0)</f>
        <v>0.74137479181532473</v>
      </c>
    </row>
    <row r="23" spans="1:13" x14ac:dyDescent="0.3">
      <c r="A23" s="221"/>
      <c r="B23" s="59" t="s">
        <v>174</v>
      </c>
      <c r="D23" s="216">
        <v>1633743.9749999999</v>
      </c>
      <c r="E23" s="217">
        <f>'[1]P&amp;L from QB'!H6</f>
        <v>1790252.26</v>
      </c>
      <c r="F23" s="218">
        <f t="shared" si="0"/>
        <v>1.0957973142640052</v>
      </c>
      <c r="G23" s="224"/>
      <c r="H23" s="219">
        <f>'[1]Budgeted Revenue'!F17+'[1]Budgeted Revenue'!G17</f>
        <v>1792329</v>
      </c>
      <c r="I23" s="278">
        <f>'[1]P&amp;L from QB'!L6</f>
        <v>1279232.49</v>
      </c>
      <c r="J23" s="226">
        <f>IFERROR(I23/H23,0)</f>
        <v>0.71372638059195603</v>
      </c>
    </row>
    <row r="24" spans="1:13" s="9" customFormat="1" x14ac:dyDescent="0.3">
      <c r="D24" s="227">
        <f t="shared" ref="D24" si="1">SUM(D22:D23)</f>
        <v>11420869.317399999</v>
      </c>
      <c r="E24" s="228">
        <f t="shared" ref="E24" si="2">SUM(E22:E23)</f>
        <v>11750843.449999999</v>
      </c>
      <c r="F24" s="229">
        <f t="shared" si="0"/>
        <v>1.028892208064869</v>
      </c>
      <c r="G24" s="224"/>
      <c r="H24" s="230">
        <f t="shared" ref="H24:I24" si="3">SUM(H22:H23)</f>
        <v>12297425</v>
      </c>
      <c r="I24" s="280">
        <f t="shared" si="3"/>
        <v>9067445.8499999996</v>
      </c>
      <c r="J24" s="231">
        <f>IFERROR(I24/H24,0)</f>
        <v>0.73734508240546293</v>
      </c>
    </row>
    <row r="25" spans="1:13" x14ac:dyDescent="0.3">
      <c r="A25" s="9" t="s">
        <v>175</v>
      </c>
      <c r="D25" s="216"/>
      <c r="E25" s="217"/>
      <c r="F25" s="218"/>
      <c r="G25" s="224"/>
      <c r="H25" s="219"/>
      <c r="I25" s="278"/>
      <c r="J25" s="226"/>
    </row>
    <row r="26" spans="1:13" x14ac:dyDescent="0.3">
      <c r="A26" s="221"/>
      <c r="B26" s="59" t="s">
        <v>176</v>
      </c>
      <c r="D26" s="216"/>
      <c r="E26" s="217">
        <f>'[1]P&amp;L from QB'!H8</f>
        <v>0</v>
      </c>
      <c r="F26" s="218">
        <f t="shared" ref="F26:F28" si="4">IFERROR(E26/D26,0)</f>
        <v>0</v>
      </c>
      <c r="G26" s="224"/>
      <c r="H26" s="219"/>
      <c r="I26" s="278">
        <f>'[1]P&amp;L from QB'!L8</f>
        <v>0</v>
      </c>
      <c r="J26" s="226">
        <f t="shared" ref="J26:J28" si="5">IFERROR(I26/H26,0)</f>
        <v>0</v>
      </c>
    </row>
    <row r="27" spans="1:13" x14ac:dyDescent="0.3">
      <c r="A27" s="221"/>
      <c r="B27" s="59" t="s">
        <v>177</v>
      </c>
      <c r="D27" s="216">
        <v>1368068</v>
      </c>
      <c r="E27" s="217">
        <f>'[1]P&amp;L from QB'!H13</f>
        <v>1368072</v>
      </c>
      <c r="F27" s="218">
        <f t="shared" si="4"/>
        <v>1.0000029238312715</v>
      </c>
      <c r="G27" s="224"/>
      <c r="H27" s="219">
        <f>'[1]Budgeted Revenue'!D31</f>
        <v>1402269</v>
      </c>
      <c r="I27" s="278">
        <f>'[1]P&amp;L from QB'!L13</f>
        <v>1051701.75</v>
      </c>
      <c r="J27" s="226">
        <f t="shared" si="5"/>
        <v>0.75</v>
      </c>
    </row>
    <row r="28" spans="1:13" s="9" customFormat="1" x14ac:dyDescent="0.3">
      <c r="D28" s="227">
        <f t="shared" ref="D28" si="6">SUM(D26:D27)</f>
        <v>1368068</v>
      </c>
      <c r="E28" s="228">
        <f t="shared" ref="E28" si="7">SUM(E26:E27)</f>
        <v>1368072</v>
      </c>
      <c r="F28" s="229">
        <f t="shared" si="4"/>
        <v>1.0000029238312715</v>
      </c>
      <c r="G28" s="224"/>
      <c r="H28" s="230">
        <f t="shared" ref="H28:I28" si="8">SUM(H26:H27)</f>
        <v>1402269</v>
      </c>
      <c r="I28" s="280">
        <f t="shared" si="8"/>
        <v>1051701.75</v>
      </c>
      <c r="J28" s="231">
        <f t="shared" si="5"/>
        <v>0.75</v>
      </c>
      <c r="M28" s="9">
        <f>IFERROR(L28/K28,0)</f>
        <v>0</v>
      </c>
    </row>
    <row r="29" spans="1:13" x14ac:dyDescent="0.3">
      <c r="A29" s="9" t="s">
        <v>178</v>
      </c>
      <c r="D29" s="216"/>
      <c r="E29" s="217"/>
      <c r="F29" s="218"/>
      <c r="G29" s="224"/>
      <c r="H29" s="219"/>
      <c r="I29" s="278"/>
      <c r="J29" s="226"/>
    </row>
    <row r="30" spans="1:13" x14ac:dyDescent="0.3">
      <c r="A30" s="221"/>
      <c r="B30" s="59" t="s">
        <v>49</v>
      </c>
      <c r="D30" s="216">
        <v>0</v>
      </c>
      <c r="E30" s="217">
        <f>'[1]P&amp;L from QB'!H18</f>
        <v>118819</v>
      </c>
      <c r="F30" s="218">
        <f t="shared" ref="F30:F35" si="9">IFERROR(E30/D30,0)</f>
        <v>0</v>
      </c>
      <c r="G30" s="224"/>
      <c r="H30" s="219">
        <f>'[1]Budgeted Revenue'!F37</f>
        <v>118819</v>
      </c>
      <c r="I30" s="278">
        <f>'[1]P&amp;L from QB'!L18</f>
        <v>132076</v>
      </c>
      <c r="J30" s="226">
        <f t="shared" ref="J30:J35" si="10">IFERROR(I30/H30,0)</f>
        <v>1.1115730649138607</v>
      </c>
    </row>
    <row r="31" spans="1:13" x14ac:dyDescent="0.3">
      <c r="A31" s="221"/>
      <c r="B31" s="59" t="s">
        <v>50</v>
      </c>
      <c r="D31" s="216">
        <v>225000</v>
      </c>
      <c r="E31" s="217">
        <f>'[1]P&amp;L from QB'!H20</f>
        <v>402754.1</v>
      </c>
      <c r="F31" s="218">
        <f t="shared" si="9"/>
        <v>1.7900182222222221</v>
      </c>
      <c r="G31" s="224"/>
      <c r="H31" s="219">
        <v>389313</v>
      </c>
      <c r="I31" s="278">
        <f>'[1]P&amp;L from QB'!L20</f>
        <v>224643.76</v>
      </c>
      <c r="J31" s="226">
        <f t="shared" si="10"/>
        <v>0.57702609468473953</v>
      </c>
    </row>
    <row r="32" spans="1:13" x14ac:dyDescent="0.3">
      <c r="A32" s="221"/>
      <c r="B32" s="59" t="s">
        <v>51</v>
      </c>
      <c r="D32" s="216">
        <v>46151</v>
      </c>
      <c r="E32" s="217">
        <f>'[1]P&amp;L from QB'!H21</f>
        <v>44481.85</v>
      </c>
      <c r="F32" s="218">
        <f t="shared" si="9"/>
        <v>0.96383285302593658</v>
      </c>
      <c r="G32" s="224"/>
      <c r="H32" s="219">
        <v>51325</v>
      </c>
      <c r="I32" s="278">
        <f>'[1]P&amp;L from QB'!L21</f>
        <v>29170.65</v>
      </c>
      <c r="J32" s="226">
        <f t="shared" si="10"/>
        <v>0.56835168046760842</v>
      </c>
    </row>
    <row r="33" spans="1:10" x14ac:dyDescent="0.3">
      <c r="A33" s="221"/>
      <c r="B33" s="59" t="s">
        <v>52</v>
      </c>
      <c r="D33" s="216">
        <v>22709</v>
      </c>
      <c r="E33" s="217">
        <f>'[1]P&amp;L from QB'!H23</f>
        <v>21407.119999999999</v>
      </c>
      <c r="F33" s="218">
        <f t="shared" si="9"/>
        <v>0.94267118763485835</v>
      </c>
      <c r="G33" s="224"/>
      <c r="H33" s="219">
        <v>24701</v>
      </c>
      <c r="I33" s="278">
        <f>'[1]P&amp;L from QB'!L23</f>
        <v>15955</v>
      </c>
      <c r="J33" s="226">
        <f t="shared" si="10"/>
        <v>0.64592526618355528</v>
      </c>
    </row>
    <row r="34" spans="1:10" x14ac:dyDescent="0.3">
      <c r="A34" s="221"/>
      <c r="B34" s="59" t="s">
        <v>179</v>
      </c>
      <c r="D34" s="216">
        <f>406700+566475</f>
        <v>973175</v>
      </c>
      <c r="E34" s="217">
        <f>'[1]P&amp;L from QB'!H27</f>
        <v>441294.44</v>
      </c>
      <c r="F34" s="218">
        <f t="shared" si="9"/>
        <v>0.45345846327741668</v>
      </c>
      <c r="G34" s="224"/>
      <c r="H34" s="219">
        <f>'[1]Budgeted Revenue'!E44+'[1]Budgeted Revenue'!E45+'[1]Budgeted Revenue'!E46</f>
        <v>1574025.6</v>
      </c>
      <c r="I34" s="278">
        <f>'[1]P&amp;L from QB'!L27</f>
        <v>768082</v>
      </c>
      <c r="J34" s="226">
        <f t="shared" si="10"/>
        <v>0.48797300374275993</v>
      </c>
    </row>
    <row r="35" spans="1:10" s="9" customFormat="1" x14ac:dyDescent="0.3">
      <c r="D35" s="227">
        <f>SUM(D30:D34)</f>
        <v>1267035</v>
      </c>
      <c r="E35" s="228">
        <f>SUM(E30:E34)</f>
        <v>1028756.51</v>
      </c>
      <c r="F35" s="229">
        <f t="shared" si="9"/>
        <v>0.81194008847427257</v>
      </c>
      <c r="G35" s="224"/>
      <c r="H35" s="230">
        <f>SUM(H30:H34)</f>
        <v>2158183.6</v>
      </c>
      <c r="I35" s="280">
        <f>SUM(I30:I34)</f>
        <v>1169927.4100000001</v>
      </c>
      <c r="J35" s="231">
        <f t="shared" si="10"/>
        <v>0.54208891680948745</v>
      </c>
    </row>
    <row r="36" spans="1:10" x14ac:dyDescent="0.3">
      <c r="A36" s="9" t="s">
        <v>180</v>
      </c>
      <c r="D36" s="216"/>
      <c r="E36" s="217"/>
      <c r="F36" s="218"/>
      <c r="G36" s="224"/>
      <c r="H36" s="219"/>
      <c r="I36" s="278"/>
      <c r="J36" s="226"/>
    </row>
    <row r="37" spans="1:10" x14ac:dyDescent="0.3">
      <c r="A37" s="221"/>
      <c r="B37" s="59" t="s">
        <v>181</v>
      </c>
      <c r="D37" s="216">
        <v>10000</v>
      </c>
      <c r="E37" s="217">
        <f>'[1]P&amp;L from QB'!H35+'[1]P&amp;L from QB'!H32</f>
        <v>42743.6</v>
      </c>
      <c r="F37" s="218">
        <f t="shared" ref="F37:F41" si="11">IFERROR(E37/D37,0)</f>
        <v>4.2743599999999997</v>
      </c>
      <c r="G37" s="224"/>
      <c r="H37" s="219">
        <v>10000</v>
      </c>
      <c r="I37" s="278">
        <f>'[1]P&amp;L from QB'!L35+'[1]P&amp;L from QB'!L32</f>
        <v>11002.27</v>
      </c>
      <c r="J37" s="226">
        <f t="shared" ref="J37:J41" si="12">IFERROR(I37/H37,0)</f>
        <v>1.1002270000000001</v>
      </c>
    </row>
    <row r="38" spans="1:10" x14ac:dyDescent="0.3">
      <c r="A38" s="221"/>
      <c r="B38" s="59" t="s">
        <v>182</v>
      </c>
      <c r="D38" s="216"/>
      <c r="E38" s="217">
        <f>'[1]P&amp;L from QB'!H34</f>
        <v>14090.02</v>
      </c>
      <c r="F38" s="218">
        <f t="shared" si="11"/>
        <v>0</v>
      </c>
      <c r="G38" s="224"/>
      <c r="H38" s="219"/>
      <c r="I38" s="278">
        <f>'[1]P&amp;L from QB'!L34</f>
        <v>21109.64</v>
      </c>
      <c r="J38" s="226">
        <f t="shared" si="12"/>
        <v>0</v>
      </c>
    </row>
    <row r="39" spans="1:10" x14ac:dyDescent="0.3">
      <c r="A39" s="221"/>
      <c r="B39" s="59" t="s">
        <v>183</v>
      </c>
      <c r="D39" s="216"/>
      <c r="E39" s="217">
        <f>'[1]P&amp;L from QB'!H33</f>
        <v>30005</v>
      </c>
      <c r="F39" s="218">
        <f t="shared" si="11"/>
        <v>0</v>
      </c>
      <c r="G39" s="224"/>
      <c r="H39" s="219"/>
      <c r="I39" s="278">
        <f>'[1]P&amp;L from QB'!L33</f>
        <v>206309.04</v>
      </c>
      <c r="J39" s="226">
        <f t="shared" si="12"/>
        <v>0</v>
      </c>
    </row>
    <row r="40" spans="1:10" hidden="1" x14ac:dyDescent="0.3">
      <c r="A40" s="221"/>
      <c r="B40" s="59" t="s">
        <v>184</v>
      </c>
      <c r="D40" s="216"/>
      <c r="E40" s="217"/>
      <c r="F40" s="218">
        <f t="shared" si="11"/>
        <v>0</v>
      </c>
      <c r="G40" s="224"/>
      <c r="H40" s="219"/>
      <c r="I40" s="278"/>
      <c r="J40" s="226">
        <f t="shared" si="12"/>
        <v>0</v>
      </c>
    </row>
    <row r="41" spans="1:10" s="9" customFormat="1" x14ac:dyDescent="0.3">
      <c r="A41" s="6"/>
      <c r="D41" s="227">
        <f t="shared" ref="D41" si="13">SUM(D37:D40)</f>
        <v>10000</v>
      </c>
      <c r="E41" s="228">
        <f t="shared" ref="E41" si="14">SUM(E37:E40)</f>
        <v>86838.62</v>
      </c>
      <c r="F41" s="229">
        <f t="shared" si="11"/>
        <v>8.6838619999999995</v>
      </c>
      <c r="G41" s="224"/>
      <c r="H41" s="230">
        <f t="shared" ref="H41:I41" si="15">SUM(H37:H40)</f>
        <v>10000</v>
      </c>
      <c r="I41" s="280">
        <f t="shared" si="15"/>
        <v>238420.95</v>
      </c>
      <c r="J41" s="231">
        <f t="shared" si="12"/>
        <v>23.842095</v>
      </c>
    </row>
    <row r="42" spans="1:10" x14ac:dyDescent="0.3">
      <c r="A42" s="9" t="s">
        <v>185</v>
      </c>
      <c r="D42" s="216"/>
      <c r="E42" s="217"/>
      <c r="F42" s="218"/>
      <c r="G42" s="224"/>
      <c r="H42" s="219"/>
      <c r="I42" s="278"/>
      <c r="J42" s="226"/>
    </row>
    <row r="43" spans="1:10" x14ac:dyDescent="0.3">
      <c r="A43" s="221"/>
      <c r="B43" s="59" t="s">
        <v>60</v>
      </c>
      <c r="D43" s="216">
        <v>10000</v>
      </c>
      <c r="E43" s="217">
        <f>'[1]P&amp;L from QB'!H40</f>
        <v>59803</v>
      </c>
      <c r="F43" s="218">
        <f t="shared" ref="F43:F47" si="16">IFERROR(E43/D43,0)</f>
        <v>5.9802999999999997</v>
      </c>
      <c r="G43" s="224"/>
      <c r="H43" s="219">
        <v>10000</v>
      </c>
      <c r="I43" s="278">
        <f>'[1]P&amp;L from QB'!L40</f>
        <v>50774.15</v>
      </c>
      <c r="J43" s="226">
        <f t="shared" ref="J43:J47" si="17">IFERROR(I43/H43,0)</f>
        <v>5.0774150000000002</v>
      </c>
    </row>
    <row r="44" spans="1:10" x14ac:dyDescent="0.3">
      <c r="A44" s="221"/>
      <c r="B44" s="59" t="s">
        <v>186</v>
      </c>
      <c r="D44" s="216">
        <v>10000</v>
      </c>
      <c r="E44" s="217">
        <f>'[1]P&amp;L from QB'!H42+'[1]P&amp;L from QB'!H45</f>
        <v>40553.24</v>
      </c>
      <c r="F44" s="218">
        <f t="shared" si="16"/>
        <v>4.0553239999999997</v>
      </c>
      <c r="G44" s="224"/>
      <c r="H44" s="219">
        <v>10000</v>
      </c>
      <c r="I44" s="278">
        <f>'[1]P&amp;L from QB'!L42+'[1]P&amp;L from QB'!L45+'[1]P&amp;L from QB'!L46</f>
        <v>98844.17</v>
      </c>
      <c r="J44" s="226">
        <f t="shared" si="17"/>
        <v>9.8844169999999991</v>
      </c>
    </row>
    <row r="45" spans="1:10" hidden="1" x14ac:dyDescent="0.3">
      <c r="A45" s="221"/>
      <c r="B45" s="59" t="s">
        <v>187</v>
      </c>
      <c r="D45" s="216"/>
      <c r="E45" s="217"/>
      <c r="F45" s="218">
        <f t="shared" si="16"/>
        <v>0</v>
      </c>
      <c r="G45" s="224"/>
      <c r="H45" s="219"/>
      <c r="I45" s="278"/>
      <c r="J45" s="226">
        <f t="shared" si="17"/>
        <v>0</v>
      </c>
    </row>
    <row r="46" spans="1:10" hidden="1" x14ac:dyDescent="0.3">
      <c r="A46" s="221"/>
      <c r="B46" s="59" t="s">
        <v>188</v>
      </c>
      <c r="D46" s="216"/>
      <c r="E46" s="217"/>
      <c r="F46" s="218">
        <f t="shared" si="16"/>
        <v>0</v>
      </c>
      <c r="G46" s="224"/>
      <c r="H46" s="219"/>
      <c r="I46" s="278"/>
      <c r="J46" s="226">
        <f t="shared" si="17"/>
        <v>0</v>
      </c>
    </row>
    <row r="47" spans="1:10" s="9" customFormat="1" x14ac:dyDescent="0.3">
      <c r="D47" s="227">
        <f t="shared" ref="D47" si="18">SUM(D43:D46)</f>
        <v>20000</v>
      </c>
      <c r="E47" s="228">
        <f>SUM(E43:E46)</f>
        <v>100356.23999999999</v>
      </c>
      <c r="F47" s="229">
        <f t="shared" si="16"/>
        <v>5.0178119999999993</v>
      </c>
      <c r="G47" s="224"/>
      <c r="H47" s="230">
        <f t="shared" ref="H47" si="19">SUM(H43:H46)</f>
        <v>20000</v>
      </c>
      <c r="I47" s="280">
        <f>SUM(I43:I46)</f>
        <v>149618.32</v>
      </c>
      <c r="J47" s="231">
        <f t="shared" si="17"/>
        <v>7.4809160000000006</v>
      </c>
    </row>
    <row r="48" spans="1:10" ht="5.15" customHeight="1" x14ac:dyDescent="0.3">
      <c r="D48" s="232"/>
      <c r="E48" s="233"/>
      <c r="F48" s="234"/>
      <c r="G48" s="224"/>
      <c r="H48" s="235"/>
      <c r="I48" s="281"/>
      <c r="J48" s="236"/>
    </row>
    <row r="49" spans="1:16" s="9" customFormat="1" x14ac:dyDescent="0.3">
      <c r="C49" s="9" t="s">
        <v>189</v>
      </c>
      <c r="D49" s="237">
        <f>D24+D28+D35+D41+D47</f>
        <v>14085972.317399999</v>
      </c>
      <c r="E49" s="238">
        <f>E24+E28+E35+E41+E47</f>
        <v>14334866.819999998</v>
      </c>
      <c r="F49" s="239">
        <f>IFERROR(E49/D49,0)</f>
        <v>1.0176696714285423</v>
      </c>
      <c r="G49" s="224"/>
      <c r="H49" s="240">
        <f>H24+H28+H35+H41+H47</f>
        <v>15887877.6</v>
      </c>
      <c r="I49" s="282">
        <f>I24+I28+I35+I41+I47</f>
        <v>11677114.279999999</v>
      </c>
      <c r="J49" s="241">
        <f>IFERROR(I49/H49,0)</f>
        <v>0.73497005540878535</v>
      </c>
      <c r="P49" s="283"/>
    </row>
    <row r="50" spans="1:16" x14ac:dyDescent="0.3">
      <c r="A50" s="215" t="s">
        <v>190</v>
      </c>
      <c r="B50" s="215"/>
      <c r="C50" s="215"/>
      <c r="D50" s="216"/>
      <c r="E50" s="217"/>
      <c r="F50" s="218"/>
      <c r="G50" s="224"/>
      <c r="H50" s="219"/>
      <c r="I50" s="278"/>
      <c r="J50" s="226"/>
    </row>
    <row r="51" spans="1:16" x14ac:dyDescent="0.3">
      <c r="A51" s="9" t="s">
        <v>191</v>
      </c>
      <c r="D51" s="216"/>
      <c r="E51" s="217"/>
      <c r="F51" s="218"/>
      <c r="G51" s="224"/>
      <c r="H51" s="219"/>
      <c r="I51" s="278"/>
      <c r="J51" s="226"/>
    </row>
    <row r="52" spans="1:16" x14ac:dyDescent="0.3">
      <c r="A52" s="221"/>
      <c r="B52" s="9" t="s">
        <v>192</v>
      </c>
      <c r="D52" s="216"/>
      <c r="E52" s="217"/>
      <c r="F52" s="218"/>
      <c r="G52" s="224"/>
      <c r="H52" s="219"/>
      <c r="I52" s="278"/>
      <c r="J52" s="226"/>
    </row>
    <row r="53" spans="1:16" x14ac:dyDescent="0.3">
      <c r="A53" s="221"/>
      <c r="B53" s="221"/>
      <c r="C53" s="59" t="s">
        <v>193</v>
      </c>
      <c r="D53" s="216">
        <v>197600.08320000002</v>
      </c>
      <c r="E53" s="217">
        <f>'[1]P&amp;L from QB'!H59</f>
        <v>401999.84</v>
      </c>
      <c r="F53" s="218">
        <f t="shared" ref="F53:F59" si="20">IFERROR(E53/D53,0)</f>
        <v>2.0344112891547605</v>
      </c>
      <c r="G53" s="224"/>
      <c r="H53" s="219">
        <f>[1]Salaries!H117</f>
        <v>409200</v>
      </c>
      <c r="I53" s="278">
        <f>'[1]P&amp;L from QB'!L59</f>
        <v>306899.94</v>
      </c>
      <c r="J53" s="226">
        <f t="shared" ref="J53:J59" si="21">IFERROR(I53/H53,0)</f>
        <v>0.74999985337243402</v>
      </c>
    </row>
    <row r="54" spans="1:16" x14ac:dyDescent="0.3">
      <c r="A54" s="221"/>
      <c r="B54" s="221"/>
      <c r="C54" s="59" t="s">
        <v>194</v>
      </c>
      <c r="D54" s="216">
        <v>513245.0048</v>
      </c>
      <c r="E54" s="217">
        <f>'[1]P&amp;L from QB'!H60</f>
        <v>660904.37</v>
      </c>
      <c r="F54" s="218">
        <f t="shared" si="20"/>
        <v>1.2876976177440627</v>
      </c>
      <c r="G54" s="224"/>
      <c r="H54" s="219">
        <f>[1]Salaries!H110</f>
        <v>436636</v>
      </c>
      <c r="I54" s="278">
        <f>'[1]P&amp;L from QB'!L60</f>
        <v>343476.52</v>
      </c>
      <c r="J54" s="226">
        <f t="shared" si="21"/>
        <v>0.78664269551754784</v>
      </c>
    </row>
    <row r="55" spans="1:16" x14ac:dyDescent="0.3">
      <c r="A55" s="221"/>
      <c r="B55" s="221"/>
      <c r="C55" s="59" t="s">
        <v>195</v>
      </c>
      <c r="D55" s="216">
        <v>487356.42879999999</v>
      </c>
      <c r="E55" s="217">
        <f>'[1]P&amp;L from QB'!H61</f>
        <v>329015.34000000003</v>
      </c>
      <c r="F55" s="218">
        <f t="shared" si="20"/>
        <v>0.67510208249457693</v>
      </c>
      <c r="G55" s="224"/>
      <c r="H55" s="219">
        <f>[1]Salaries!H114</f>
        <v>323497</v>
      </c>
      <c r="I55" s="278">
        <f>'[1]P&amp;L from QB'!L61</f>
        <v>360000.55</v>
      </c>
      <c r="J55" s="226">
        <f t="shared" si="21"/>
        <v>1.1128404591078125</v>
      </c>
    </row>
    <row r="56" spans="1:16" x14ac:dyDescent="0.3">
      <c r="A56" s="221"/>
      <c r="B56" s="221"/>
      <c r="C56" s="59" t="s">
        <v>196</v>
      </c>
      <c r="D56" s="216">
        <v>235599.91679999998</v>
      </c>
      <c r="E56" s="217">
        <f>'[1]P&amp;L from QB'!H62</f>
        <v>91677.37</v>
      </c>
      <c r="F56" s="218">
        <f t="shared" si="20"/>
        <v>0.38912310006384521</v>
      </c>
      <c r="G56" s="224"/>
      <c r="H56" s="219">
        <f>[1]Salaries!H106</f>
        <v>92820</v>
      </c>
      <c r="I56" s="278">
        <f>'[1]P&amp;L from QB'!L62</f>
        <v>25496.7</v>
      </c>
      <c r="J56" s="226">
        <f t="shared" si="21"/>
        <v>0.27468972204266323</v>
      </c>
    </row>
    <row r="57" spans="1:16" x14ac:dyDescent="0.3">
      <c r="A57" s="221"/>
      <c r="B57" s="221"/>
      <c r="C57" s="59" t="s">
        <v>197</v>
      </c>
      <c r="D57" s="216">
        <v>142845.0816</v>
      </c>
      <c r="E57" s="217">
        <f>'[1]P&amp;L from QB'!H63</f>
        <v>0</v>
      </c>
      <c r="F57" s="218">
        <f t="shared" si="20"/>
        <v>0</v>
      </c>
      <c r="G57" s="224"/>
      <c r="H57" s="219"/>
      <c r="I57" s="278">
        <f>'[1]P&amp;L from QB'!L63</f>
        <v>2921.57</v>
      </c>
      <c r="J57" s="226">
        <f t="shared" si="21"/>
        <v>0</v>
      </c>
    </row>
    <row r="58" spans="1:16" x14ac:dyDescent="0.3">
      <c r="A58" s="221"/>
      <c r="B58" s="221"/>
      <c r="C58" s="59" t="s">
        <v>198</v>
      </c>
      <c r="D58" s="216">
        <v>181600.08319999999</v>
      </c>
      <c r="E58" s="217">
        <f>'[1]P&amp;L from QB'!H64</f>
        <v>497014.34</v>
      </c>
      <c r="F58" s="218">
        <f t="shared" si="20"/>
        <v>2.736861851834218</v>
      </c>
      <c r="G58" s="224"/>
      <c r="H58" s="219">
        <f>[1]Salaries!H109</f>
        <v>323745</v>
      </c>
      <c r="I58" s="278">
        <f>'[1]P&amp;L from QB'!L64</f>
        <v>222519.7</v>
      </c>
      <c r="J58" s="226">
        <f t="shared" si="21"/>
        <v>0.68733015181701651</v>
      </c>
    </row>
    <row r="59" spans="1:16" s="9" customFormat="1" x14ac:dyDescent="0.3">
      <c r="A59" s="6"/>
      <c r="D59" s="227">
        <f>SUM(D53:D58)</f>
        <v>1758246.5983999998</v>
      </c>
      <c r="E59" s="228">
        <f>SUM(E53:E58)</f>
        <v>1980611.26</v>
      </c>
      <c r="F59" s="229">
        <f t="shared" si="20"/>
        <v>1.1264695531345554</v>
      </c>
      <c r="G59" s="224"/>
      <c r="H59" s="230">
        <f>SUM(H53:H58)</f>
        <v>1585898</v>
      </c>
      <c r="I59" s="280">
        <f>SUM(I53:I58)</f>
        <v>1261314.98</v>
      </c>
      <c r="J59" s="231">
        <f t="shared" si="21"/>
        <v>0.79533171742444975</v>
      </c>
    </row>
    <row r="60" spans="1:16" x14ac:dyDescent="0.3">
      <c r="A60" s="221"/>
      <c r="B60" s="9" t="s">
        <v>199</v>
      </c>
      <c r="D60" s="216"/>
      <c r="E60" s="217"/>
      <c r="F60" s="218"/>
      <c r="G60" s="224"/>
      <c r="H60" s="219"/>
      <c r="I60" s="278"/>
      <c r="J60" s="226"/>
    </row>
    <row r="61" spans="1:16" x14ac:dyDescent="0.3">
      <c r="A61" s="221"/>
      <c r="B61" s="221"/>
      <c r="C61" s="59" t="s">
        <v>200</v>
      </c>
      <c r="D61" s="216">
        <v>3049784.9600000009</v>
      </c>
      <c r="E61" s="217">
        <f>'[1]P&amp;L from QB'!H68</f>
        <v>3005359.14</v>
      </c>
      <c r="F61" s="218">
        <f t="shared" ref="F61:F72" si="22">IFERROR(E61/D61,0)</f>
        <v>0.98543313034109759</v>
      </c>
      <c r="G61" s="224"/>
      <c r="H61" s="219">
        <f>[1]Salaries!H108</f>
        <v>3142318.1578000002</v>
      </c>
      <c r="I61" s="278">
        <f>'[1]P&amp;L from QB'!L68</f>
        <v>2625545.4700000002</v>
      </c>
      <c r="J61" s="226">
        <f t="shared" ref="J61:J72" si="23">IFERROR(I61/H61,0)</f>
        <v>0.83554412320813409</v>
      </c>
    </row>
    <row r="62" spans="1:16" x14ac:dyDescent="0.3">
      <c r="A62" s="221"/>
      <c r="B62" s="221"/>
      <c r="C62" s="59" t="s">
        <v>201</v>
      </c>
      <c r="D62" s="216">
        <v>922607.21279999998</v>
      </c>
      <c r="E62" s="217">
        <f>'[1]P&amp;L from QB'!H69</f>
        <v>1077093.33</v>
      </c>
      <c r="F62" s="218">
        <f t="shared" si="22"/>
        <v>1.1674451652411795</v>
      </c>
      <c r="G62" s="224"/>
      <c r="H62" s="219">
        <f>[1]Salaries!H107</f>
        <v>1076030</v>
      </c>
      <c r="I62" s="278">
        <f>'[1]P&amp;L from QB'!L69</f>
        <v>621066.66</v>
      </c>
      <c r="J62" s="226">
        <f t="shared" si="23"/>
        <v>0.57718340566712822</v>
      </c>
    </row>
    <row r="63" spans="1:16" x14ac:dyDescent="0.3">
      <c r="A63" s="221"/>
      <c r="B63" s="221"/>
      <c r="C63" s="59" t="s">
        <v>202</v>
      </c>
      <c r="D63" s="216"/>
      <c r="E63" s="217"/>
      <c r="F63" s="218"/>
      <c r="G63" s="224"/>
      <c r="H63" s="219"/>
      <c r="I63" s="278">
        <f>'[1]P&amp;L from QB'!L70</f>
        <v>25575</v>
      </c>
      <c r="J63" s="226">
        <f t="shared" si="23"/>
        <v>0</v>
      </c>
    </row>
    <row r="64" spans="1:16" x14ac:dyDescent="0.3">
      <c r="A64" s="221"/>
      <c r="B64" s="221"/>
      <c r="C64" s="59" t="s">
        <v>203</v>
      </c>
      <c r="D64" s="216">
        <v>132079.83360000001</v>
      </c>
      <c r="E64" s="217">
        <f>'[1]P&amp;L from QB'!H71</f>
        <v>164119.72</v>
      </c>
      <c r="F64" s="218">
        <f t="shared" si="22"/>
        <v>1.2425796999187011</v>
      </c>
      <c r="G64" s="224"/>
      <c r="H64" s="219">
        <f>[1]Salaries!H115</f>
        <v>100326.45000000001</v>
      </c>
      <c r="I64" s="278">
        <f>'[1]P&amp;L from QB'!L71</f>
        <v>117749.09</v>
      </c>
      <c r="J64" s="226">
        <f t="shared" si="23"/>
        <v>1.1736594885994669</v>
      </c>
    </row>
    <row r="65" spans="1:11" x14ac:dyDescent="0.3">
      <c r="A65" s="221"/>
      <c r="B65" s="221"/>
      <c r="C65" s="59" t="s">
        <v>204</v>
      </c>
      <c r="D65" s="216"/>
      <c r="E65" s="217">
        <f>'[1]P&amp;L from QB'!H81</f>
        <v>0.25</v>
      </c>
      <c r="F65" s="218">
        <f t="shared" si="22"/>
        <v>0</v>
      </c>
      <c r="G65" s="224"/>
      <c r="H65" s="219">
        <f>[1]Salaries!H111</f>
        <v>168897</v>
      </c>
      <c r="I65" s="278">
        <f>'[1]P&amp;L from QB'!L81</f>
        <v>211436.47</v>
      </c>
      <c r="J65" s="226">
        <f t="shared" si="23"/>
        <v>1.2518663445768723</v>
      </c>
    </row>
    <row r="66" spans="1:11" x14ac:dyDescent="0.3">
      <c r="A66" s="221"/>
      <c r="B66" s="221"/>
      <c r="C66" s="59" t="s">
        <v>205</v>
      </c>
      <c r="D66" s="216">
        <v>79012.876799999998</v>
      </c>
      <c r="E66" s="217">
        <f>'[1]P&amp;L from QB'!H75</f>
        <v>0</v>
      </c>
      <c r="F66" s="218">
        <f t="shared" si="22"/>
        <v>0</v>
      </c>
      <c r="G66" s="224"/>
      <c r="H66" s="219"/>
      <c r="I66" s="278">
        <f>'[1]P&amp;L from QB'!L75</f>
        <v>0</v>
      </c>
      <c r="J66" s="226">
        <f t="shared" si="23"/>
        <v>0</v>
      </c>
    </row>
    <row r="67" spans="1:11" x14ac:dyDescent="0.3">
      <c r="A67" s="221"/>
      <c r="B67" s="221"/>
      <c r="C67" s="59" t="s">
        <v>206</v>
      </c>
      <c r="D67" s="216">
        <v>65817.523199999996</v>
      </c>
      <c r="E67" s="217">
        <f>'[1]P&amp;L from QB'!H76</f>
        <v>74383.58</v>
      </c>
      <c r="F67" s="218">
        <f t="shared" si="22"/>
        <v>1.1301485741718098</v>
      </c>
      <c r="G67" s="224"/>
      <c r="H67" s="219">
        <f>[1]Salaries!H116</f>
        <v>70996</v>
      </c>
      <c r="I67" s="278">
        <f>'[1]P&amp;L from QB'!L76</f>
        <v>41958.7</v>
      </c>
      <c r="J67" s="226">
        <f t="shared" si="23"/>
        <v>0.59100090145923712</v>
      </c>
    </row>
    <row r="68" spans="1:11" x14ac:dyDescent="0.3">
      <c r="A68" s="221"/>
      <c r="B68" s="221"/>
      <c r="C68" s="59" t="s">
        <v>207</v>
      </c>
      <c r="D68" s="216">
        <v>88975.910399999993</v>
      </c>
      <c r="E68" s="217">
        <f>'[1]P&amp;L from QB'!H77</f>
        <v>102071.61</v>
      </c>
      <c r="F68" s="218">
        <f t="shared" si="22"/>
        <v>1.1471825299806093</v>
      </c>
      <c r="G68" s="224"/>
      <c r="H68" s="219">
        <f>[1]Salaries!H119</f>
        <v>102440</v>
      </c>
      <c r="I68" s="278">
        <f>'[1]P&amp;L from QB'!L77</f>
        <v>123984.14</v>
      </c>
      <c r="J68" s="226">
        <f t="shared" si="23"/>
        <v>1.2103098399062866</v>
      </c>
    </row>
    <row r="69" spans="1:11" x14ac:dyDescent="0.3">
      <c r="A69" s="221"/>
      <c r="B69" s="221"/>
      <c r="C69" s="59" t="s">
        <v>208</v>
      </c>
      <c r="D69" s="216">
        <v>552655.08479999995</v>
      </c>
      <c r="E69" s="217">
        <f>'[1]P&amp;L from QB'!H78</f>
        <v>631275.63</v>
      </c>
      <c r="F69" s="218">
        <f t="shared" si="22"/>
        <v>1.1422596975262644</v>
      </c>
      <c r="G69" s="224"/>
      <c r="H69" s="219">
        <f>[1]Salaries!H112</f>
        <v>582416</v>
      </c>
      <c r="I69" s="278">
        <f>'[1]P&amp;L from QB'!L78+'[1]P&amp;L from QB'!L79</f>
        <v>481928.98</v>
      </c>
      <c r="J69" s="226">
        <f t="shared" si="23"/>
        <v>0.82746521386775085</v>
      </c>
    </row>
    <row r="70" spans="1:11" x14ac:dyDescent="0.3">
      <c r="A70" s="221"/>
      <c r="B70" s="221"/>
      <c r="C70" s="59" t="s">
        <v>209</v>
      </c>
      <c r="D70" s="216">
        <v>579421.24160000007</v>
      </c>
      <c r="E70" s="217">
        <f>'[1]P&amp;L from QB'!H82</f>
        <v>625210.29</v>
      </c>
      <c r="F70" s="218">
        <f t="shared" si="22"/>
        <v>1.0790254914948565</v>
      </c>
      <c r="G70" s="224"/>
      <c r="H70" s="219">
        <f>[1]Salaries!H113</f>
        <v>793379.66250000009</v>
      </c>
      <c r="I70" s="278">
        <f>'[1]P&amp;L from QB'!L82</f>
        <v>527185.4</v>
      </c>
      <c r="J70" s="226">
        <f t="shared" si="23"/>
        <v>0.66448060735360726</v>
      </c>
    </row>
    <row r="71" spans="1:11" x14ac:dyDescent="0.3">
      <c r="A71" s="221"/>
      <c r="B71" s="221"/>
      <c r="C71" s="59" t="s">
        <v>210</v>
      </c>
      <c r="D71" s="216"/>
      <c r="E71" s="217">
        <f>'[1]P&amp;L from QB'!H83</f>
        <v>0</v>
      </c>
      <c r="F71" s="218">
        <f t="shared" si="22"/>
        <v>0</v>
      </c>
      <c r="G71" s="224"/>
      <c r="H71" s="219">
        <v>1500</v>
      </c>
      <c r="I71" s="278">
        <f>'[1]P&amp;L from QB'!L83</f>
        <v>6661.5</v>
      </c>
      <c r="J71" s="226">
        <f t="shared" si="23"/>
        <v>4.4409999999999998</v>
      </c>
      <c r="K71" s="59" t="s">
        <v>298</v>
      </c>
    </row>
    <row r="72" spans="1:11" s="9" customFormat="1" x14ac:dyDescent="0.3">
      <c r="A72" s="6"/>
      <c r="D72" s="227">
        <f>SUM(D61:D71)</f>
        <v>5470354.6432000017</v>
      </c>
      <c r="E72" s="228">
        <f>SUM(E61:E71)</f>
        <v>5679513.5500000007</v>
      </c>
      <c r="F72" s="229">
        <f t="shared" si="22"/>
        <v>1.0382349811743918</v>
      </c>
      <c r="G72" s="224"/>
      <c r="H72" s="230">
        <f>SUM(H61:H71)</f>
        <v>6038303.2703000009</v>
      </c>
      <c r="I72" s="280">
        <f>SUM(I61:I71)</f>
        <v>4783091.4100000011</v>
      </c>
      <c r="J72" s="231">
        <f t="shared" si="23"/>
        <v>0.7921250715455308</v>
      </c>
    </row>
    <row r="73" spans="1:11" x14ac:dyDescent="0.3">
      <c r="A73" s="221"/>
      <c r="B73" s="9" t="s">
        <v>211</v>
      </c>
      <c r="D73" s="216"/>
      <c r="E73" s="217"/>
      <c r="F73" s="218"/>
      <c r="G73" s="224"/>
      <c r="H73" s="219"/>
      <c r="I73" s="278"/>
      <c r="J73" s="226"/>
    </row>
    <row r="74" spans="1:11" x14ac:dyDescent="0.3">
      <c r="A74" s="221"/>
      <c r="B74" s="9"/>
      <c r="C74" s="59" t="s">
        <v>212</v>
      </c>
      <c r="D74" s="216">
        <v>163200.16639999999</v>
      </c>
      <c r="E74" s="217">
        <f>'[1]P&amp;L from QB'!H102</f>
        <v>115391.32</v>
      </c>
      <c r="F74" s="218">
        <f t="shared" ref="F74:F77" si="24">IFERROR(E74/D74,0)</f>
        <v>0.70705393594500654</v>
      </c>
      <c r="G74" s="224"/>
      <c r="H74" s="219">
        <f>[1]Salaries!H121</f>
        <v>135002</v>
      </c>
      <c r="I74" s="278">
        <f>'[1]P&amp;L from QB'!L102</f>
        <v>123059.01</v>
      </c>
      <c r="J74" s="226">
        <f t="shared" ref="J74:J89" si="25">IFERROR(I74/H74,0)</f>
        <v>0.91153471800417762</v>
      </c>
    </row>
    <row r="75" spans="1:11" x14ac:dyDescent="0.3">
      <c r="A75" s="221"/>
      <c r="B75" s="221"/>
      <c r="C75" s="59" t="s">
        <v>213</v>
      </c>
      <c r="D75" s="216">
        <v>87984</v>
      </c>
      <c r="E75" s="217">
        <f>'[1]P&amp;L from QB'!H103</f>
        <v>137306.07999999999</v>
      </c>
      <c r="F75" s="218">
        <f t="shared" si="24"/>
        <v>1.5605801054737223</v>
      </c>
      <c r="G75" s="224"/>
      <c r="H75" s="219">
        <f>[1]Salaries!H120</f>
        <v>120499</v>
      </c>
      <c r="I75" s="278">
        <f>'[1]P&amp;L from QB'!L103</f>
        <v>88668.96</v>
      </c>
      <c r="J75" s="226">
        <f t="shared" si="25"/>
        <v>0.73584809832446751</v>
      </c>
    </row>
    <row r="76" spans="1:11" ht="13.9" customHeight="1" x14ac:dyDescent="0.3">
      <c r="A76" s="221"/>
      <c r="B76" s="221"/>
      <c r="C76" s="59" t="s">
        <v>214</v>
      </c>
      <c r="D76" s="216">
        <v>90376</v>
      </c>
      <c r="E76" s="217">
        <f>'[1]P&amp;L from QB'!H104</f>
        <v>137722.6</v>
      </c>
      <c r="F76" s="218">
        <f t="shared" si="24"/>
        <v>1.5238846596441533</v>
      </c>
      <c r="G76" s="224"/>
      <c r="H76" s="219">
        <f>[1]Salaries!H118</f>
        <v>187320</v>
      </c>
      <c r="I76" s="278">
        <f>'[1]P&amp;L from QB'!L104</f>
        <v>106347.67</v>
      </c>
      <c r="J76" s="226">
        <f t="shared" si="25"/>
        <v>0.56773259662609432</v>
      </c>
    </row>
    <row r="77" spans="1:11" s="9" customFormat="1" x14ac:dyDescent="0.3">
      <c r="A77" s="6"/>
      <c r="D77" s="227">
        <f>SUM(D74:D76)</f>
        <v>341560.16639999999</v>
      </c>
      <c r="E77" s="228">
        <f>SUM(E74:E76)</f>
        <v>390420</v>
      </c>
      <c r="F77" s="229">
        <f t="shared" si="24"/>
        <v>1.1430489805499755</v>
      </c>
      <c r="G77" s="224"/>
      <c r="H77" s="230">
        <f>SUM(H74:H76)</f>
        <v>442821</v>
      </c>
      <c r="I77" s="280">
        <f>SUM(I74:I76)</f>
        <v>318075.64</v>
      </c>
      <c r="J77" s="231">
        <f t="shared" si="25"/>
        <v>0.71829393818269682</v>
      </c>
    </row>
    <row r="78" spans="1:11" s="9" customFormat="1" ht="13.9" customHeight="1" x14ac:dyDescent="0.3">
      <c r="A78" s="6"/>
      <c r="B78" s="9" t="s">
        <v>215</v>
      </c>
      <c r="C78" s="59"/>
      <c r="D78" s="237"/>
      <c r="E78" s="238"/>
      <c r="F78" s="239"/>
      <c r="G78" s="224"/>
      <c r="H78" s="240"/>
      <c r="I78" s="282"/>
      <c r="J78" s="241"/>
    </row>
    <row r="79" spans="1:11" s="9" customFormat="1" ht="13.9" customHeight="1" x14ac:dyDescent="0.3">
      <c r="A79" s="6"/>
      <c r="B79" s="59"/>
      <c r="C79" s="59" t="s">
        <v>216</v>
      </c>
      <c r="D79" s="216"/>
      <c r="E79" s="217"/>
      <c r="F79" s="218"/>
      <c r="G79" s="224"/>
      <c r="H79" s="219"/>
      <c r="I79" s="278">
        <f>'[1]P&amp;L from QB'!L87</f>
        <v>30924</v>
      </c>
      <c r="J79" s="226">
        <f t="shared" si="25"/>
        <v>0</v>
      </c>
    </row>
    <row r="80" spans="1:11" s="9" customFormat="1" ht="13.9" customHeight="1" x14ac:dyDescent="0.3">
      <c r="A80" s="6"/>
      <c r="B80" s="59"/>
      <c r="C80" s="59" t="s">
        <v>217</v>
      </c>
      <c r="D80" s="216"/>
      <c r="E80" s="217"/>
      <c r="F80" s="218"/>
      <c r="G80" s="224"/>
      <c r="H80" s="219"/>
      <c r="I80" s="278">
        <f>'[1]P&amp;L from QB'!L88</f>
        <v>3540.6</v>
      </c>
      <c r="J80" s="226">
        <f t="shared" si="25"/>
        <v>0</v>
      </c>
    </row>
    <row r="81" spans="1:10" s="9" customFormat="1" ht="13.9" customHeight="1" x14ac:dyDescent="0.3">
      <c r="A81" s="6"/>
      <c r="B81" s="59"/>
      <c r="C81" s="59" t="s">
        <v>218</v>
      </c>
      <c r="D81" s="216"/>
      <c r="E81" s="217"/>
      <c r="F81" s="218"/>
      <c r="G81" s="224"/>
      <c r="H81" s="219"/>
      <c r="I81" s="278">
        <f>'[1]P&amp;L from QB'!L89</f>
        <v>4216.8</v>
      </c>
      <c r="J81" s="226">
        <f t="shared" si="25"/>
        <v>0</v>
      </c>
    </row>
    <row r="82" spans="1:10" s="9" customFormat="1" ht="13.9" customHeight="1" x14ac:dyDescent="0.3">
      <c r="A82" s="6"/>
      <c r="B82" s="59"/>
      <c r="C82" s="59" t="s">
        <v>219</v>
      </c>
      <c r="D82" s="216"/>
      <c r="E82" s="217"/>
      <c r="F82" s="218"/>
      <c r="G82" s="224"/>
      <c r="H82" s="219"/>
      <c r="I82" s="278">
        <f>'[1]P&amp;L from QB'!L90</f>
        <v>0</v>
      </c>
      <c r="J82" s="226">
        <f t="shared" si="25"/>
        <v>0</v>
      </c>
    </row>
    <row r="83" spans="1:10" s="9" customFormat="1" ht="13.9" customHeight="1" x14ac:dyDescent="0.3">
      <c r="A83" s="6"/>
      <c r="B83" s="59"/>
      <c r="C83" s="59" t="s">
        <v>210</v>
      </c>
      <c r="D83" s="216"/>
      <c r="E83" s="217"/>
      <c r="F83" s="218"/>
      <c r="G83" s="224"/>
      <c r="H83" s="219"/>
      <c r="I83" s="278">
        <f>'[1]P&amp;L from QB'!L91</f>
        <v>30</v>
      </c>
      <c r="J83" s="226">
        <f t="shared" si="25"/>
        <v>0</v>
      </c>
    </row>
    <row r="84" spans="1:10" s="9" customFormat="1" ht="13.9" customHeight="1" x14ac:dyDescent="0.3">
      <c r="A84" s="6"/>
      <c r="B84" s="59"/>
      <c r="C84" s="59" t="s">
        <v>220</v>
      </c>
      <c r="D84" s="216"/>
      <c r="E84" s="217"/>
      <c r="F84" s="218"/>
      <c r="G84" s="224"/>
      <c r="H84" s="219"/>
      <c r="I84" s="278">
        <f>'[1]P&amp;L from QB'!L92</f>
        <v>16445.11</v>
      </c>
      <c r="J84" s="226">
        <f t="shared" si="25"/>
        <v>0</v>
      </c>
    </row>
    <row r="85" spans="1:10" s="9" customFormat="1" ht="13.9" customHeight="1" x14ac:dyDescent="0.3">
      <c r="A85" s="6"/>
      <c r="B85" s="59"/>
      <c r="C85" s="59" t="s">
        <v>221</v>
      </c>
      <c r="D85" s="216"/>
      <c r="E85" s="217"/>
      <c r="F85" s="218"/>
      <c r="G85" s="224"/>
      <c r="H85" s="219"/>
      <c r="I85" s="278">
        <f>'[1]P&amp;L from QB'!L93</f>
        <v>30</v>
      </c>
      <c r="J85" s="226">
        <f t="shared" si="25"/>
        <v>0</v>
      </c>
    </row>
    <row r="86" spans="1:10" s="9" customFormat="1" ht="13.9" customHeight="1" x14ac:dyDescent="0.3">
      <c r="A86" s="6"/>
      <c r="B86" s="59"/>
      <c r="C86" s="59" t="s">
        <v>222</v>
      </c>
      <c r="D86" s="216"/>
      <c r="E86" s="217"/>
      <c r="F86" s="218"/>
      <c r="G86" s="224"/>
      <c r="H86" s="219"/>
      <c r="I86" s="278">
        <f>'[1]P&amp;L from QB'!L94</f>
        <v>330</v>
      </c>
      <c r="J86" s="226">
        <f t="shared" si="25"/>
        <v>0</v>
      </c>
    </row>
    <row r="87" spans="1:10" s="9" customFormat="1" ht="13.9" customHeight="1" x14ac:dyDescent="0.3">
      <c r="A87" s="6"/>
      <c r="B87" s="59"/>
      <c r="C87" s="59" t="s">
        <v>223</v>
      </c>
      <c r="D87" s="216"/>
      <c r="E87" s="217"/>
      <c r="F87" s="218"/>
      <c r="G87" s="224"/>
      <c r="H87" s="219"/>
      <c r="I87" s="278">
        <f>'[1]P&amp;L from QB'!L95</f>
        <v>1800</v>
      </c>
      <c r="J87" s="226">
        <f t="shared" si="25"/>
        <v>0</v>
      </c>
    </row>
    <row r="88" spans="1:10" s="9" customFormat="1" ht="13.9" customHeight="1" x14ac:dyDescent="0.3">
      <c r="A88" s="6"/>
      <c r="B88" s="59"/>
      <c r="C88" s="59" t="s">
        <v>224</v>
      </c>
      <c r="D88" s="216"/>
      <c r="E88" s="217"/>
      <c r="F88" s="218"/>
      <c r="G88" s="224"/>
      <c r="H88" s="219"/>
      <c r="I88" s="278">
        <f>'[1]P&amp;L from QB'!L96</f>
        <v>63250</v>
      </c>
      <c r="J88" s="226">
        <f t="shared" si="25"/>
        <v>0</v>
      </c>
    </row>
    <row r="89" spans="1:10" s="9" customFormat="1" ht="13.9" customHeight="1" x14ac:dyDescent="0.3">
      <c r="A89" s="6"/>
      <c r="D89" s="227">
        <f>SUM(D79:D87)</f>
        <v>0</v>
      </c>
      <c r="E89" s="228">
        <f>SUM(E79:E87)</f>
        <v>0</v>
      </c>
      <c r="F89" s="229"/>
      <c r="G89" s="224"/>
      <c r="H89" s="230">
        <f>SUM(H79:H87)</f>
        <v>0</v>
      </c>
      <c r="I89" s="280">
        <f>SUM(I79:I88)</f>
        <v>120566.51000000001</v>
      </c>
      <c r="J89" s="231">
        <f t="shared" si="25"/>
        <v>0</v>
      </c>
    </row>
    <row r="90" spans="1:10" s="9" customFormat="1" ht="13.9" customHeight="1" x14ac:dyDescent="0.3">
      <c r="A90" s="6"/>
      <c r="D90" s="227"/>
      <c r="E90" s="228"/>
      <c r="F90" s="229"/>
      <c r="G90" s="224"/>
      <c r="H90" s="230"/>
      <c r="I90" s="280"/>
      <c r="J90" s="231"/>
    </row>
    <row r="91" spans="1:10" s="9" customFormat="1" x14ac:dyDescent="0.3">
      <c r="A91" s="9" t="s">
        <v>225</v>
      </c>
      <c r="D91" s="237">
        <f>D59+D72+D77+D89</f>
        <v>7570161.4080000017</v>
      </c>
      <c r="E91" s="238">
        <f>E59+E72+E77+E89</f>
        <v>8050544.8100000005</v>
      </c>
      <c r="F91" s="239">
        <f>IFERROR(E91/D91,0)</f>
        <v>1.0634574847363676</v>
      </c>
      <c r="G91" s="224"/>
      <c r="H91" s="240">
        <f>H59+H72+H77+H89</f>
        <v>8067022.2703000009</v>
      </c>
      <c r="I91" s="282">
        <f>I59+I72+I77+I89</f>
        <v>6483048.54</v>
      </c>
      <c r="J91" s="241">
        <f>IFERROR(I91/H91,0)</f>
        <v>0.80364827600245425</v>
      </c>
    </row>
    <row r="92" spans="1:10" ht="5.15" customHeight="1" x14ac:dyDescent="0.3">
      <c r="A92" s="221"/>
      <c r="D92" s="216"/>
      <c r="E92" s="217"/>
      <c r="F92" s="218"/>
      <c r="G92" s="224"/>
      <c r="H92" s="219"/>
      <c r="I92" s="278"/>
      <c r="J92" s="226"/>
    </row>
    <row r="93" spans="1:10" x14ac:dyDescent="0.3">
      <c r="A93" s="9" t="s">
        <v>226</v>
      </c>
      <c r="D93" s="216"/>
      <c r="E93" s="217"/>
      <c r="F93" s="218"/>
      <c r="G93" s="224"/>
      <c r="H93" s="219"/>
      <c r="I93" s="278"/>
      <c r="J93" s="226"/>
    </row>
    <row r="94" spans="1:10" x14ac:dyDescent="0.3">
      <c r="A94" s="221"/>
      <c r="B94" s="59" t="s">
        <v>227</v>
      </c>
      <c r="D94" s="216">
        <v>647990.04942720034</v>
      </c>
      <c r="E94" s="217">
        <f>'[1]P&amp;L from QB'!H112</f>
        <v>799950.71</v>
      </c>
      <c r="F94" s="218">
        <f>IFERROR(E94/D94,0)</f>
        <v>1.2345107933480264</v>
      </c>
      <c r="G94" s="224"/>
      <c r="H94" s="219">
        <f>H91*0.09</f>
        <v>726032.004327</v>
      </c>
      <c r="I94" s="278">
        <f>'[1]P&amp;L from QB'!L112</f>
        <v>554694.64</v>
      </c>
      <c r="J94" s="226">
        <f>IFERROR(I94/H94,0)</f>
        <v>0.76400852399637365</v>
      </c>
    </row>
    <row r="95" spans="1:10" ht="5.15" customHeight="1" x14ac:dyDescent="0.3">
      <c r="A95" s="221"/>
      <c r="D95" s="216"/>
      <c r="E95" s="217"/>
      <c r="F95" s="218"/>
      <c r="G95" s="224"/>
      <c r="H95" s="219"/>
      <c r="I95" s="278"/>
      <c r="J95" s="226"/>
    </row>
    <row r="96" spans="1:10" x14ac:dyDescent="0.3">
      <c r="A96" s="9" t="s">
        <v>228</v>
      </c>
      <c r="D96" s="216"/>
      <c r="E96" s="217"/>
      <c r="F96" s="218"/>
      <c r="G96" s="224"/>
      <c r="H96" s="219"/>
      <c r="I96" s="278"/>
      <c r="J96" s="226"/>
    </row>
    <row r="97" spans="1:12" x14ac:dyDescent="0.3">
      <c r="A97" s="221"/>
      <c r="B97" s="59" t="s">
        <v>229</v>
      </c>
      <c r="D97" s="216">
        <v>698257.62479499984</v>
      </c>
      <c r="E97" s="217">
        <f>'[1]P&amp;L from QB'!H113</f>
        <v>581877.04</v>
      </c>
      <c r="F97" s="218">
        <f t="shared" ref="F97:F99" si="26">IFERROR(E97/D97,0)</f>
        <v>0.83332715510386624</v>
      </c>
      <c r="G97" s="224"/>
      <c r="H97" s="219">
        <f>H91*0.1</f>
        <v>806702.22703000018</v>
      </c>
      <c r="I97" s="278">
        <f>'[1]P&amp;L from QB'!L113</f>
        <v>517074.46</v>
      </c>
      <c r="J97" s="226">
        <f t="shared" ref="J97:J99" si="27">IFERROR(I97/H97,0)</f>
        <v>0.64097314061433808</v>
      </c>
    </row>
    <row r="98" spans="1:12" x14ac:dyDescent="0.3">
      <c r="A98" s="221"/>
      <c r="B98" s="59" t="s">
        <v>230</v>
      </c>
      <c r="D98" s="216">
        <v>121343.52576</v>
      </c>
      <c r="E98" s="217">
        <f>'[1]P&amp;L from QB'!H114</f>
        <v>106439.01</v>
      </c>
      <c r="F98" s="218">
        <f t="shared" si="26"/>
        <v>0.87717090247172325</v>
      </c>
      <c r="G98" s="224"/>
      <c r="H98" s="219">
        <f>H91*0.02</f>
        <v>161340.44540600001</v>
      </c>
      <c r="I98" s="278">
        <f>'[1]P&amp;L from QB'!L114</f>
        <v>92059.61</v>
      </c>
      <c r="J98" s="226">
        <f t="shared" si="27"/>
        <v>0.57059226388237327</v>
      </c>
    </row>
    <row r="99" spans="1:12" s="9" customFormat="1" x14ac:dyDescent="0.3">
      <c r="D99" s="242">
        <f>SUM(D97:D98)</f>
        <v>819601.15055499983</v>
      </c>
      <c r="E99" s="243">
        <f>SUM(E97:E98)</f>
        <v>688316.05</v>
      </c>
      <c r="F99" s="229">
        <f t="shared" si="26"/>
        <v>0.83981830617721931</v>
      </c>
      <c r="G99" s="224"/>
      <c r="H99" s="244">
        <f>SUM(H97:H98)</f>
        <v>968042.6724360002</v>
      </c>
      <c r="I99" s="280">
        <f>SUM(I97:I98)</f>
        <v>609134.07000000007</v>
      </c>
      <c r="J99" s="231">
        <f t="shared" si="27"/>
        <v>0.629242994492344</v>
      </c>
    </row>
    <row r="100" spans="1:12" s="9" customFormat="1" ht="5.15" customHeight="1" x14ac:dyDescent="0.3">
      <c r="D100" s="237"/>
      <c r="E100" s="238"/>
      <c r="F100" s="229"/>
      <c r="G100" s="224"/>
      <c r="H100" s="240"/>
      <c r="I100" s="280"/>
      <c r="J100" s="231"/>
    </row>
    <row r="101" spans="1:12" s="9" customFormat="1" x14ac:dyDescent="0.3">
      <c r="A101" s="9" t="s">
        <v>231</v>
      </c>
      <c r="D101" s="237">
        <f t="shared" ref="D101" si="28">D94+D99</f>
        <v>1467591.1999822003</v>
      </c>
      <c r="E101" s="238">
        <f>E94+E99</f>
        <v>1488266.76</v>
      </c>
      <c r="F101" s="239">
        <f>IFERROR(E101/D101,0)</f>
        <v>1.0140880921186026</v>
      </c>
      <c r="G101" s="224"/>
      <c r="H101" s="240">
        <f t="shared" ref="H101" si="29">H94+H99</f>
        <v>1694074.6767630002</v>
      </c>
      <c r="I101" s="282">
        <f>I94+I99</f>
        <v>1163828.71</v>
      </c>
      <c r="J101" s="241">
        <f>IFERROR(I101/H101,0)</f>
        <v>0.68699964999407093</v>
      </c>
      <c r="L101" s="284"/>
    </row>
    <row r="102" spans="1:12" ht="5.15" customHeight="1" x14ac:dyDescent="0.3">
      <c r="D102" s="216"/>
      <c r="E102" s="217"/>
      <c r="F102" s="218"/>
      <c r="G102" s="224"/>
      <c r="H102" s="219"/>
      <c r="I102" s="278"/>
      <c r="J102" s="226"/>
    </row>
    <row r="103" spans="1:12" x14ac:dyDescent="0.3">
      <c r="A103" s="9" t="s">
        <v>113</v>
      </c>
      <c r="D103" s="216"/>
      <c r="E103" s="217"/>
      <c r="F103" s="218"/>
      <c r="G103" s="224"/>
      <c r="H103" s="219"/>
      <c r="I103" s="278"/>
      <c r="J103" s="226"/>
    </row>
    <row r="104" spans="1:12" x14ac:dyDescent="0.3">
      <c r="A104" s="6"/>
      <c r="B104" s="59" t="s">
        <v>114</v>
      </c>
      <c r="D104" s="216">
        <v>190000</v>
      </c>
      <c r="E104" s="217">
        <f>'[1]P&amp;L from QB'!H120</f>
        <v>188561.07</v>
      </c>
      <c r="F104" s="218">
        <f t="shared" ref="F104:F109" si="30">IFERROR(E104/D104,0)</f>
        <v>0.99242668421052638</v>
      </c>
      <c r="G104" s="224"/>
      <c r="H104" s="219">
        <f>[1]Professionals!E9</f>
        <v>220000</v>
      </c>
      <c r="I104" s="278">
        <f>'[1]P&amp;L from QB'!L120</f>
        <v>135000</v>
      </c>
      <c r="J104" s="226">
        <f t="shared" ref="J104:J108" si="31">IFERROR(I104/H104,0)</f>
        <v>0.61363636363636365</v>
      </c>
    </row>
    <row r="105" spans="1:12" x14ac:dyDescent="0.3">
      <c r="A105" s="6"/>
      <c r="B105" s="59" t="s">
        <v>115</v>
      </c>
      <c r="D105" s="216">
        <v>75000</v>
      </c>
      <c r="E105" s="217">
        <f>'[1]P&amp;L from QB'!H121</f>
        <v>36531.050000000003</v>
      </c>
      <c r="F105" s="218">
        <f t="shared" si="30"/>
        <v>0.48708066666666672</v>
      </c>
      <c r="G105" s="224"/>
      <c r="H105" s="219">
        <f>[1]Professionals!E10</f>
        <v>75000</v>
      </c>
      <c r="I105" s="278">
        <f>'[1]P&amp;L from QB'!L121</f>
        <v>13798.75</v>
      </c>
      <c r="J105" s="226">
        <f t="shared" si="31"/>
        <v>0.18398333333333333</v>
      </c>
    </row>
    <row r="106" spans="1:12" x14ac:dyDescent="0.3">
      <c r="A106" s="6"/>
      <c r="B106" s="59" t="s">
        <v>116</v>
      </c>
      <c r="D106" s="216">
        <v>15000</v>
      </c>
      <c r="E106" s="217">
        <f>'[1]P&amp;L from QB'!H131</f>
        <v>0</v>
      </c>
      <c r="F106" s="218">
        <f t="shared" si="30"/>
        <v>0</v>
      </c>
      <c r="G106" s="224"/>
      <c r="H106" s="219">
        <f>[1]Professionals!E11</f>
        <v>0</v>
      </c>
      <c r="I106" s="278">
        <f>'[1]P&amp;L from QB'!L131</f>
        <v>0</v>
      </c>
      <c r="J106" s="226">
        <f t="shared" si="31"/>
        <v>0</v>
      </c>
    </row>
    <row r="107" spans="1:12" x14ac:dyDescent="0.3">
      <c r="A107" s="6"/>
      <c r="B107" s="59" t="s">
        <v>117</v>
      </c>
      <c r="D107" s="216">
        <v>174418</v>
      </c>
      <c r="E107" s="217">
        <f>'[1]P&amp;L from QB'!H133</f>
        <v>254345.7</v>
      </c>
      <c r="F107" s="218">
        <f t="shared" si="30"/>
        <v>1.4582537352796157</v>
      </c>
      <c r="G107" s="224"/>
      <c r="H107" s="219">
        <f>[1]Professionals!E12</f>
        <v>323995.37</v>
      </c>
      <c r="I107" s="278">
        <f>'[1]P&amp;L from QB'!L133</f>
        <v>287388.78999999998</v>
      </c>
      <c r="J107" s="226">
        <f t="shared" si="31"/>
        <v>0.88701511382708953</v>
      </c>
    </row>
    <row r="108" spans="1:12" x14ac:dyDescent="0.3">
      <c r="A108" s="6"/>
      <c r="B108" s="59" t="s">
        <v>118</v>
      </c>
      <c r="D108" s="216">
        <v>160000</v>
      </c>
      <c r="E108" s="217">
        <f>'[1]P&amp;L from QB'!H130</f>
        <v>95206.91</v>
      </c>
      <c r="F108" s="218">
        <f t="shared" si="30"/>
        <v>0.59504318750000007</v>
      </c>
      <c r="G108" s="224"/>
      <c r="H108" s="219">
        <f>[1]Professionals!E13</f>
        <v>99967.255500000014</v>
      </c>
      <c r="I108" s="278">
        <f>'[1]P&amp;L from QB'!L130</f>
        <v>76712.23</v>
      </c>
      <c r="J108" s="226">
        <f t="shared" si="31"/>
        <v>0.7673735726394928</v>
      </c>
    </row>
    <row r="109" spans="1:12" s="9" customFormat="1" x14ac:dyDescent="0.3">
      <c r="D109" s="227">
        <f>SUM(D104:D108)</f>
        <v>614418</v>
      </c>
      <c r="E109" s="228">
        <f>SUM(E104:E108)</f>
        <v>574644.73</v>
      </c>
      <c r="F109" s="229">
        <f t="shared" si="30"/>
        <v>0.93526675650778457</v>
      </c>
      <c r="G109" s="224"/>
      <c r="H109" s="230">
        <f>SUM(H104:H108)</f>
        <v>718962.62549999997</v>
      </c>
      <c r="I109" s="280">
        <f>SUM(I104:I108)</f>
        <v>512899.76999999996</v>
      </c>
      <c r="J109" s="231">
        <f>IFERROR(I109/H109,0)</f>
        <v>0.71338864053372131</v>
      </c>
    </row>
    <row r="110" spans="1:12" x14ac:dyDescent="0.3">
      <c r="A110" s="9" t="s">
        <v>232</v>
      </c>
      <c r="D110" s="216"/>
      <c r="E110" s="217"/>
      <c r="F110" s="218"/>
      <c r="G110" s="224"/>
      <c r="H110" s="219"/>
      <c r="I110" s="278"/>
      <c r="J110" s="226"/>
    </row>
    <row r="111" spans="1:12" x14ac:dyDescent="0.3">
      <c r="A111" s="6"/>
      <c r="B111" s="59" t="s">
        <v>233</v>
      </c>
      <c r="D111" s="216">
        <v>79380</v>
      </c>
      <c r="E111" s="217">
        <f>'[1]P&amp;L from QB'!H138+'[1]P&amp;L from QB'!H141</f>
        <v>51092.49</v>
      </c>
      <c r="F111" s="218">
        <f t="shared" ref="F111:F128" si="32">IFERROR(E111/D111,0)</f>
        <v>0.6436443688586545</v>
      </c>
      <c r="G111" s="224"/>
      <c r="H111" s="219">
        <f>'[1]School Operations'!E9</f>
        <v>56201.739000000001</v>
      </c>
      <c r="I111" s="278">
        <f>'[1]P&amp;L from QB'!L138+'[1]P&amp;L from QB'!L141</f>
        <v>47859.9</v>
      </c>
      <c r="J111" s="226">
        <f t="shared" ref="J111:J128" si="33">IFERROR(I111/H111,0)</f>
        <v>0.8515732938441638</v>
      </c>
    </row>
    <row r="112" spans="1:12" x14ac:dyDescent="0.3">
      <c r="A112" s="6"/>
      <c r="B112" s="59" t="s">
        <v>234</v>
      </c>
      <c r="D112" s="216"/>
      <c r="E112" s="217">
        <f>'[1]P&amp;L from QB'!H139</f>
        <v>0</v>
      </c>
      <c r="F112" s="218">
        <f t="shared" si="32"/>
        <v>0</v>
      </c>
      <c r="G112" s="224"/>
      <c r="H112" s="219">
        <f>'[1]School Operations'!E10</f>
        <v>1500</v>
      </c>
      <c r="I112" s="278">
        <f>'[1]P&amp;L from QB'!L139</f>
        <v>0</v>
      </c>
      <c r="J112" s="226">
        <f t="shared" si="33"/>
        <v>0</v>
      </c>
    </row>
    <row r="113" spans="1:10" x14ac:dyDescent="0.3">
      <c r="A113" s="6"/>
      <c r="B113" s="59" t="s">
        <v>235</v>
      </c>
      <c r="D113" s="216">
        <v>13230</v>
      </c>
      <c r="E113" s="217">
        <f>'[1]P&amp;L from QB'!H140</f>
        <v>18092.02</v>
      </c>
      <c r="F113" s="218">
        <f t="shared" si="32"/>
        <v>1.3674996220710507</v>
      </c>
      <c r="G113" s="224"/>
      <c r="H113" s="219">
        <f>'[1]School Operations'!E11</f>
        <v>25000</v>
      </c>
      <c r="I113" s="278">
        <f>'[1]P&amp;L from QB'!L140</f>
        <v>12288.91</v>
      </c>
      <c r="J113" s="226">
        <f t="shared" si="33"/>
        <v>0.4915564</v>
      </c>
    </row>
    <row r="114" spans="1:10" x14ac:dyDescent="0.3">
      <c r="A114" s="6"/>
      <c r="B114" s="59" t="s">
        <v>236</v>
      </c>
      <c r="D114" s="216">
        <v>66150</v>
      </c>
      <c r="E114" s="217">
        <f>'[1]P&amp;L from QB'!H142+'[1]Bal Sht from QB'!$L$47</f>
        <v>5919.6</v>
      </c>
      <c r="F114" s="218">
        <f t="shared" si="32"/>
        <v>8.9487528344671205E-2</v>
      </c>
      <c r="G114" s="224"/>
      <c r="H114" s="219">
        <f>'[1]School Operations'!E12</f>
        <v>55000</v>
      </c>
      <c r="I114" s="278">
        <f>'[1]P&amp;L from QB'!L142</f>
        <v>24472.42</v>
      </c>
      <c r="J114" s="226">
        <f t="shared" si="33"/>
        <v>0.44495309090909085</v>
      </c>
    </row>
    <row r="115" spans="1:10" x14ac:dyDescent="0.3">
      <c r="A115" s="6"/>
      <c r="B115" s="59" t="s">
        <v>237</v>
      </c>
      <c r="D115" s="216">
        <v>33075</v>
      </c>
      <c r="E115" s="217">
        <f>'[1]P&amp;L from QB'!H155</f>
        <v>20195</v>
      </c>
      <c r="F115" s="218">
        <f t="shared" si="32"/>
        <v>0.61058201058201056</v>
      </c>
      <c r="G115" s="224"/>
      <c r="H115" s="219">
        <f>'[1]School Operations'!E13</f>
        <v>25000</v>
      </c>
      <c r="I115" s="278">
        <f>'[1]P&amp;L from QB'!L155</f>
        <v>18519.5</v>
      </c>
      <c r="J115" s="226">
        <f t="shared" si="33"/>
        <v>0.74077999999999999</v>
      </c>
    </row>
    <row r="116" spans="1:10" x14ac:dyDescent="0.3">
      <c r="A116" s="6"/>
      <c r="B116" s="59" t="s">
        <v>238</v>
      </c>
      <c r="D116" s="216">
        <v>198450</v>
      </c>
      <c r="E116" s="217">
        <f>'[1]P&amp;L from QB'!H146</f>
        <v>149934.94</v>
      </c>
      <c r="F116" s="218">
        <f t="shared" si="32"/>
        <v>0.75553005794910555</v>
      </c>
      <c r="G116" s="224"/>
      <c r="H116" s="219">
        <f>'[1]School Operations'!E14</f>
        <v>230849.49000000002</v>
      </c>
      <c r="I116" s="278">
        <f>'[1]P&amp;L from QB'!L146</f>
        <v>198598.5</v>
      </c>
      <c r="J116" s="226">
        <f t="shared" si="33"/>
        <v>0.860294298246013</v>
      </c>
    </row>
    <row r="117" spans="1:10" x14ac:dyDescent="0.3">
      <c r="A117" s="6"/>
      <c r="B117" s="59" t="s">
        <v>239</v>
      </c>
      <c r="D117" s="216">
        <v>85995</v>
      </c>
      <c r="E117" s="217">
        <f>'[1]P&amp;L from QB'!H153</f>
        <v>16315.26</v>
      </c>
      <c r="F117" s="218">
        <f t="shared" si="32"/>
        <v>0.18972335600907031</v>
      </c>
      <c r="G117" s="224"/>
      <c r="H117" s="219">
        <f>30000</f>
        <v>30000</v>
      </c>
      <c r="I117" s="278">
        <f>'[1]P&amp;L from QB'!L153+'[1]P&amp;L from QB'!L150+'[1]P&amp;L from QB'!L151+'[1]P&amp;L from QB'!L152</f>
        <v>59433.619999999995</v>
      </c>
      <c r="J117" s="226">
        <f t="shared" si="33"/>
        <v>1.9811206666666665</v>
      </c>
    </row>
    <row r="118" spans="1:10" x14ac:dyDescent="0.3">
      <c r="A118" s="6"/>
      <c r="B118" s="59" t="s">
        <v>240</v>
      </c>
      <c r="D118" s="216">
        <v>1500</v>
      </c>
      <c r="E118" s="217">
        <f>'[1]P&amp;L from QB'!H147</f>
        <v>84.43</v>
      </c>
      <c r="F118" s="218">
        <f t="shared" si="32"/>
        <v>5.6286666666666672E-2</v>
      </c>
      <c r="G118" s="224"/>
      <c r="H118" s="219">
        <f>'[1]School Operations'!E16</f>
        <v>0</v>
      </c>
      <c r="I118" s="278">
        <f>'[1]P&amp;L from QB'!L147</f>
        <v>0</v>
      </c>
      <c r="J118" s="226">
        <f t="shared" si="33"/>
        <v>0</v>
      </c>
    </row>
    <row r="119" spans="1:10" x14ac:dyDescent="0.3">
      <c r="A119" s="6"/>
      <c r="B119" s="59" t="s">
        <v>241</v>
      </c>
      <c r="D119" s="216"/>
      <c r="E119" s="217"/>
      <c r="F119" s="218">
        <f t="shared" si="32"/>
        <v>0</v>
      </c>
      <c r="G119" s="224"/>
      <c r="H119" s="219">
        <f>'[1]School Operations'!E17</f>
        <v>0</v>
      </c>
      <c r="I119" s="278"/>
      <c r="J119" s="226">
        <f t="shared" si="33"/>
        <v>0</v>
      </c>
    </row>
    <row r="120" spans="1:10" x14ac:dyDescent="0.3">
      <c r="A120" s="6"/>
      <c r="B120" s="59" t="s">
        <v>242</v>
      </c>
      <c r="D120" s="216">
        <v>26460</v>
      </c>
      <c r="E120" s="217">
        <f>'[1]P&amp;L from QB'!H160+'[1]P&amp;L from QB'!H161+'[1]P&amp;L from QB'!H163</f>
        <v>46371.79</v>
      </c>
      <c r="F120" s="218">
        <f t="shared" si="32"/>
        <v>1.7525241874527588</v>
      </c>
      <c r="G120" s="224"/>
      <c r="H120" s="219">
        <f>'[1]School Operations'!E18</f>
        <v>50000</v>
      </c>
      <c r="I120" s="278">
        <f>'[1]P&amp;L from QB'!L160+'[1]P&amp;L from QB'!L161+'[1]P&amp;L from QB'!L163</f>
        <v>85436.53</v>
      </c>
      <c r="J120" s="226">
        <f t="shared" si="33"/>
        <v>1.7087306</v>
      </c>
    </row>
    <row r="121" spans="1:10" x14ac:dyDescent="0.3">
      <c r="A121" s="6"/>
      <c r="B121" s="59" t="s">
        <v>243</v>
      </c>
      <c r="D121" s="216">
        <v>0</v>
      </c>
      <c r="E121" s="217"/>
      <c r="F121" s="218">
        <f t="shared" si="32"/>
        <v>0</v>
      </c>
      <c r="G121" s="224"/>
      <c r="H121" s="219">
        <f>'[1]School Operations'!E19</f>
        <v>0</v>
      </c>
      <c r="I121" s="278"/>
      <c r="J121" s="226">
        <f t="shared" si="33"/>
        <v>0</v>
      </c>
    </row>
    <row r="122" spans="1:10" x14ac:dyDescent="0.3">
      <c r="A122" s="6"/>
      <c r="B122" s="59" t="s">
        <v>244</v>
      </c>
      <c r="D122" s="216">
        <v>33075</v>
      </c>
      <c r="E122" s="217">
        <f>'[1]P&amp;L from QB'!H169</f>
        <v>93135.13</v>
      </c>
      <c r="F122" s="218">
        <f t="shared" si="32"/>
        <v>2.8158769463340891</v>
      </c>
      <c r="G122" s="224"/>
      <c r="H122" s="219">
        <f>'[1]School Operations'!E20</f>
        <v>120000</v>
      </c>
      <c r="I122" s="278">
        <f>'[1]P&amp;L from QB'!L169</f>
        <v>77775.5</v>
      </c>
      <c r="J122" s="226">
        <f t="shared" si="33"/>
        <v>0.64812916666666665</v>
      </c>
    </row>
    <row r="123" spans="1:10" x14ac:dyDescent="0.3">
      <c r="A123" s="6"/>
      <c r="B123" s="59" t="s">
        <v>245</v>
      </c>
      <c r="D123" s="216">
        <v>15000</v>
      </c>
      <c r="E123" s="217">
        <f>'[1]P&amp;L from QB'!H148</f>
        <v>10905.46</v>
      </c>
      <c r="F123" s="218">
        <f t="shared" si="32"/>
        <v>0.7270306666666666</v>
      </c>
      <c r="G123" s="224"/>
      <c r="H123" s="219">
        <f>'[1]School Operations'!E21</f>
        <v>15000</v>
      </c>
      <c r="I123" s="278">
        <f>'[1]P&amp;L from QB'!L148</f>
        <v>31357.05</v>
      </c>
      <c r="J123" s="226">
        <f t="shared" si="33"/>
        <v>2.0904699999999998</v>
      </c>
    </row>
    <row r="124" spans="1:10" x14ac:dyDescent="0.3">
      <c r="A124" s="6"/>
      <c r="B124" s="59" t="s">
        <v>246</v>
      </c>
      <c r="D124" s="216">
        <v>66150</v>
      </c>
      <c r="E124" s="217">
        <f>'[1]P&amp;L from QB'!H156</f>
        <v>26096.94</v>
      </c>
      <c r="F124" s="218">
        <f t="shared" si="32"/>
        <v>0.3945115646258503</v>
      </c>
      <c r="G124" s="224"/>
      <c r="H124" s="219">
        <f>'[1]School Operations'!E22</f>
        <v>30000</v>
      </c>
      <c r="I124" s="278">
        <f>'[1]P&amp;L from QB'!L156</f>
        <v>30569.86</v>
      </c>
      <c r="J124" s="226">
        <f t="shared" si="33"/>
        <v>1.0189953333333333</v>
      </c>
    </row>
    <row r="125" spans="1:10" x14ac:dyDescent="0.3">
      <c r="A125" s="6"/>
      <c r="B125" s="59" t="s">
        <v>247</v>
      </c>
      <c r="D125" s="216">
        <v>60000</v>
      </c>
      <c r="E125" s="217">
        <f>'[1]P&amp;L from QB'!H167</f>
        <v>129253.54</v>
      </c>
      <c r="F125" s="218">
        <f t="shared" si="32"/>
        <v>2.1542256666666666</v>
      </c>
      <c r="G125" s="224"/>
      <c r="H125" s="219">
        <f>'[1]School Operations'!E23</f>
        <v>120000</v>
      </c>
      <c r="I125" s="278">
        <f>'[1]P&amp;L from QB'!L167</f>
        <v>116331.3</v>
      </c>
      <c r="J125" s="226">
        <f t="shared" si="33"/>
        <v>0.9694275</v>
      </c>
    </row>
    <row r="126" spans="1:10" x14ac:dyDescent="0.3">
      <c r="A126" s="6"/>
      <c r="B126" s="59" t="s">
        <v>248</v>
      </c>
      <c r="D126" s="216">
        <v>35000</v>
      </c>
      <c r="E126" s="217">
        <f>'[1]P&amp;L from QB'!H149</f>
        <v>175086.8</v>
      </c>
      <c r="F126" s="218">
        <f t="shared" si="32"/>
        <v>5.0024799999999994</v>
      </c>
      <c r="G126" s="224"/>
      <c r="H126" s="219">
        <f>'[1]School Operations'!E24+'[1]School Operations'!E15</f>
        <v>210572.38999999993</v>
      </c>
      <c r="I126" s="278">
        <f>'[1]P&amp;L from QB'!L149</f>
        <v>91283.77</v>
      </c>
      <c r="J126" s="226">
        <f t="shared" si="33"/>
        <v>0.433503034277191</v>
      </c>
    </row>
    <row r="127" spans="1:10" x14ac:dyDescent="0.3">
      <c r="A127" s="6"/>
      <c r="B127" s="59" t="s">
        <v>249</v>
      </c>
      <c r="D127" s="216"/>
      <c r="E127" s="217"/>
      <c r="F127" s="218">
        <f t="shared" si="32"/>
        <v>0</v>
      </c>
      <c r="G127" s="224"/>
      <c r="H127" s="219"/>
      <c r="I127" s="278">
        <f>'[1]P&amp;L from QB'!L180</f>
        <v>4215.71</v>
      </c>
      <c r="J127" s="226">
        <f t="shared" si="33"/>
        <v>0</v>
      </c>
    </row>
    <row r="128" spans="1:10" s="9" customFormat="1" x14ac:dyDescent="0.3">
      <c r="D128" s="227">
        <f>SUM(D111:D127)</f>
        <v>713465</v>
      </c>
      <c r="E128" s="228">
        <f>SUM(E111:E127)</f>
        <v>742483.39999999991</v>
      </c>
      <c r="F128" s="229">
        <f t="shared" si="32"/>
        <v>1.0406724926941053</v>
      </c>
      <c r="G128" s="224"/>
      <c r="H128" s="230">
        <f>SUM(H111:H127)</f>
        <v>969123.61899999995</v>
      </c>
      <c r="I128" s="280">
        <f>SUM(I111:I127)</f>
        <v>798142.57000000007</v>
      </c>
      <c r="J128" s="231">
        <f t="shared" si="33"/>
        <v>0.82357147669517283</v>
      </c>
    </row>
    <row r="129" spans="1:10" x14ac:dyDescent="0.3">
      <c r="A129" s="9" t="s">
        <v>250</v>
      </c>
      <c r="D129" s="216"/>
      <c r="E129" s="217"/>
      <c r="F129" s="218"/>
      <c r="G129" s="224"/>
      <c r="H129" s="219"/>
      <c r="I129" s="278"/>
      <c r="J129" s="226"/>
    </row>
    <row r="130" spans="1:10" x14ac:dyDescent="0.3">
      <c r="A130" s="6"/>
      <c r="B130" s="59" t="s">
        <v>251</v>
      </c>
      <c r="D130" s="216">
        <v>70000</v>
      </c>
      <c r="E130" s="217">
        <f>'[1]P&amp;L from QB'!H165</f>
        <v>53968.55</v>
      </c>
      <c r="F130" s="218">
        <f t="shared" ref="F130:F133" si="34">IFERROR(E130/D130,0)</f>
        <v>0.77097928571428576</v>
      </c>
      <c r="G130" s="224"/>
      <c r="H130" s="219">
        <f>'[1]School Operations'!E27</f>
        <v>85000</v>
      </c>
      <c r="I130" s="278">
        <f>'[1]P&amp;L from QB'!L165</f>
        <v>75327.210000000006</v>
      </c>
      <c r="J130" s="226">
        <f t="shared" ref="J130:J133" si="35">IFERROR(I130/H130,0)</f>
        <v>0.88620247058823542</v>
      </c>
    </row>
    <row r="131" spans="1:10" x14ac:dyDescent="0.3">
      <c r="A131" s="6"/>
      <c r="B131" s="59" t="s">
        <v>252</v>
      </c>
      <c r="D131" s="216">
        <v>70000</v>
      </c>
      <c r="E131" s="217">
        <f>'[1]P&amp;L from QB'!H166</f>
        <v>118269.81</v>
      </c>
      <c r="F131" s="218">
        <f t="shared" si="34"/>
        <v>1.6895687142857143</v>
      </c>
      <c r="G131" s="224"/>
      <c r="H131" s="219">
        <f>'[1]School Operations'!E28</f>
        <v>130000</v>
      </c>
      <c r="I131" s="278">
        <f>'[1]P&amp;L from QB'!L166</f>
        <v>102256.6</v>
      </c>
      <c r="J131" s="226">
        <f t="shared" si="35"/>
        <v>0.78658923076923082</v>
      </c>
    </row>
    <row r="132" spans="1:10" x14ac:dyDescent="0.3">
      <c r="A132" s="6"/>
      <c r="B132" s="59" t="s">
        <v>253</v>
      </c>
      <c r="D132" s="216">
        <v>1000</v>
      </c>
      <c r="E132" s="217">
        <f>'[1]P&amp;L from QB'!H162</f>
        <v>8904.4</v>
      </c>
      <c r="F132" s="218">
        <f t="shared" si="34"/>
        <v>8.904399999999999</v>
      </c>
      <c r="G132" s="224"/>
      <c r="H132" s="219">
        <f>'[1]School Operations'!E29</f>
        <v>7500</v>
      </c>
      <c r="I132" s="278">
        <f>'[1]P&amp;L from QB'!L162</f>
        <v>13231.43</v>
      </c>
      <c r="J132" s="226">
        <f t="shared" si="35"/>
        <v>1.7641906666666667</v>
      </c>
    </row>
    <row r="133" spans="1:10" s="9" customFormat="1" x14ac:dyDescent="0.3">
      <c r="D133" s="227">
        <f>SUM(D130:D132)</f>
        <v>141000</v>
      </c>
      <c r="E133" s="228">
        <f>SUM(E130:E132)</f>
        <v>181142.75999999998</v>
      </c>
      <c r="F133" s="229">
        <f t="shared" si="34"/>
        <v>1.2847004255319148</v>
      </c>
      <c r="G133" s="224"/>
      <c r="H133" s="230">
        <f>SUM(H130:H132)</f>
        <v>222500</v>
      </c>
      <c r="I133" s="280">
        <f>SUM(I130:I132)</f>
        <v>190815.24</v>
      </c>
      <c r="J133" s="231">
        <f t="shared" si="35"/>
        <v>0.8575965842696629</v>
      </c>
    </row>
    <row r="134" spans="1:10" x14ac:dyDescent="0.3">
      <c r="A134" s="9" t="s">
        <v>254</v>
      </c>
      <c r="D134" s="216"/>
      <c r="E134" s="217"/>
      <c r="F134" s="218"/>
      <c r="G134" s="224"/>
      <c r="H134" s="219"/>
      <c r="I134" s="278"/>
      <c r="J134" s="226"/>
    </row>
    <row r="135" spans="1:10" hidden="1" x14ac:dyDescent="0.3">
      <c r="A135" s="6"/>
      <c r="B135" s="59" t="s">
        <v>255</v>
      </c>
      <c r="D135" s="216"/>
      <c r="E135" s="217"/>
      <c r="F135" s="218">
        <f>IFERROR(#REF!/#REF!,0)</f>
        <v>0</v>
      </c>
      <c r="G135" s="224"/>
      <c r="H135" s="219"/>
      <c r="I135" s="278"/>
      <c r="J135" s="226"/>
    </row>
    <row r="136" spans="1:10" hidden="1" x14ac:dyDescent="0.3">
      <c r="A136" s="6"/>
      <c r="B136" s="59" t="s">
        <v>256</v>
      </c>
      <c r="D136" s="216"/>
      <c r="E136" s="217"/>
      <c r="F136" s="218">
        <f>IFERROR(#REF!/#REF!,0)</f>
        <v>0</v>
      </c>
      <c r="G136" s="224"/>
      <c r="H136" s="219"/>
      <c r="I136" s="278"/>
      <c r="J136" s="226"/>
    </row>
    <row r="137" spans="1:10" x14ac:dyDescent="0.3">
      <c r="A137" s="6"/>
      <c r="B137" s="59" t="s">
        <v>257</v>
      </c>
      <c r="D137" s="216">
        <v>25000</v>
      </c>
      <c r="E137" s="217">
        <f>'[1]P&amp;L from QB'!H143</f>
        <v>51111.97</v>
      </c>
      <c r="F137" s="218">
        <f t="shared" ref="F137:F141" si="36">IFERROR(E137/D137,0)</f>
        <v>2.0444788000000003</v>
      </c>
      <c r="G137" s="224"/>
      <c r="H137" s="219">
        <f>'[1]School Operations'!E34</f>
        <v>60000</v>
      </c>
      <c r="I137" s="278">
        <f>'[1]P&amp;L from QB'!L143</f>
        <v>33061.379999999997</v>
      </c>
      <c r="J137" s="226">
        <f t="shared" ref="J137:J141" si="37">IFERROR(I137/H137,0)</f>
        <v>0.55102299999999993</v>
      </c>
    </row>
    <row r="138" spans="1:10" x14ac:dyDescent="0.3">
      <c r="A138" s="6"/>
      <c r="B138" s="59" t="s">
        <v>258</v>
      </c>
      <c r="D138" s="216">
        <v>343500</v>
      </c>
      <c r="E138" s="217">
        <f>'[1]P&amp;L from QB'!H144+'[1]Bal Sht from QB'!$L$42</f>
        <v>278735.49</v>
      </c>
      <c r="F138" s="218">
        <f t="shared" si="36"/>
        <v>0.81145703056768559</v>
      </c>
      <c r="G138" s="224"/>
      <c r="H138" s="219">
        <f>'[1]School Operations'!E35</f>
        <v>500000</v>
      </c>
      <c r="I138" s="278">
        <f>'[1]P&amp;L from QB'!L144</f>
        <v>279694.02</v>
      </c>
      <c r="J138" s="226">
        <f t="shared" si="37"/>
        <v>0.55938804000000009</v>
      </c>
    </row>
    <row r="139" spans="1:10" x14ac:dyDescent="0.3">
      <c r="A139" s="6"/>
      <c r="B139" s="59" t="s">
        <v>259</v>
      </c>
      <c r="D139" s="216"/>
      <c r="E139" s="217"/>
      <c r="F139" s="218">
        <f t="shared" si="36"/>
        <v>0</v>
      </c>
      <c r="G139" s="224"/>
      <c r="H139" s="219">
        <f>'[1]School Operations'!E36</f>
        <v>0</v>
      </c>
      <c r="I139" s="278"/>
      <c r="J139" s="226">
        <f t="shared" si="37"/>
        <v>0</v>
      </c>
    </row>
    <row r="140" spans="1:10" x14ac:dyDescent="0.3">
      <c r="A140" s="6"/>
      <c r="B140" s="59" t="s">
        <v>260</v>
      </c>
      <c r="D140" s="216"/>
      <c r="E140" s="217"/>
      <c r="F140" s="218">
        <f t="shared" si="36"/>
        <v>0</v>
      </c>
      <c r="G140" s="224"/>
      <c r="H140" s="219">
        <f>'[1]School Operations'!E37</f>
        <v>10000</v>
      </c>
      <c r="I140" s="278"/>
      <c r="J140" s="226">
        <f t="shared" si="37"/>
        <v>0</v>
      </c>
    </row>
    <row r="141" spans="1:10" s="9" customFormat="1" x14ac:dyDescent="0.3">
      <c r="A141" s="6"/>
      <c r="D141" s="227">
        <f t="shared" ref="D141" si="38">SUM(D135:D140)</f>
        <v>368500</v>
      </c>
      <c r="E141" s="228">
        <f>SUM(E137:E140)</f>
        <v>329847.45999999996</v>
      </c>
      <c r="F141" s="229">
        <f t="shared" si="36"/>
        <v>0.89510843962008135</v>
      </c>
      <c r="G141" s="224"/>
      <c r="H141" s="230">
        <f t="shared" ref="H141" si="39">SUM(H135:H140)</f>
        <v>570000</v>
      </c>
      <c r="I141" s="280">
        <f>SUM(I137:I140)</f>
        <v>312755.40000000002</v>
      </c>
      <c r="J141" s="231">
        <f t="shared" si="37"/>
        <v>0.54869368421052633</v>
      </c>
    </row>
    <row r="142" spans="1:10" x14ac:dyDescent="0.3">
      <c r="A142" s="9" t="s">
        <v>261</v>
      </c>
      <c r="D142" s="216"/>
      <c r="E142" s="217"/>
      <c r="F142" s="218"/>
      <c r="G142" s="224"/>
      <c r="H142" s="219"/>
      <c r="I142" s="278"/>
      <c r="J142" s="226"/>
    </row>
    <row r="143" spans="1:10" x14ac:dyDescent="0.3">
      <c r="A143" s="6"/>
      <c r="B143" s="59" t="s">
        <v>262</v>
      </c>
      <c r="D143" s="216">
        <v>170669.1</v>
      </c>
      <c r="E143" s="217">
        <f>'[1]P&amp;L from QB'!H157</f>
        <v>235026.17</v>
      </c>
      <c r="F143" s="218">
        <f t="shared" ref="F143:F151" si="40">IFERROR(E143/D143,0)</f>
        <v>1.3770868305979231</v>
      </c>
      <c r="G143" s="224"/>
      <c r="H143" s="219">
        <f>'[1]School Operations'!E40</f>
        <v>250000</v>
      </c>
      <c r="I143" s="278">
        <f>'[1]P&amp;L from QB'!L157</f>
        <v>180713.38</v>
      </c>
      <c r="J143" s="226">
        <f t="shared" ref="J143:J151" si="41">IFERROR(I143/H143,0)</f>
        <v>0.72285352000000003</v>
      </c>
    </row>
    <row r="144" spans="1:10" x14ac:dyDescent="0.3">
      <c r="A144" s="6"/>
      <c r="B144" s="59" t="s">
        <v>263</v>
      </c>
      <c r="D144" s="216">
        <v>13125</v>
      </c>
      <c r="E144" s="217">
        <f>'[1]P&amp;L from QB'!H158</f>
        <v>5942.22</v>
      </c>
      <c r="F144" s="218">
        <f t="shared" si="40"/>
        <v>0.45274057142857144</v>
      </c>
      <c r="G144" s="224"/>
      <c r="H144" s="219">
        <f>'[1]School Operations'!E41</f>
        <v>7500</v>
      </c>
      <c r="I144" s="278">
        <f>'[1]P&amp;L from QB'!L158</f>
        <v>6551.07</v>
      </c>
      <c r="J144" s="226">
        <f t="shared" si="41"/>
        <v>0.87347599999999992</v>
      </c>
    </row>
    <row r="145" spans="1:10" x14ac:dyDescent="0.3">
      <c r="A145" s="6"/>
      <c r="B145" s="59" t="s">
        <v>184</v>
      </c>
      <c r="D145" s="216">
        <v>0</v>
      </c>
      <c r="E145" s="217"/>
      <c r="F145" s="218">
        <f t="shared" si="40"/>
        <v>0</v>
      </c>
      <c r="G145" s="224"/>
      <c r="H145" s="219">
        <f>'[1]School Operations'!E42</f>
        <v>5000</v>
      </c>
      <c r="I145" s="278"/>
      <c r="J145" s="226">
        <f t="shared" si="41"/>
        <v>0</v>
      </c>
    </row>
    <row r="146" spans="1:10" x14ac:dyDescent="0.3">
      <c r="A146" s="6"/>
      <c r="B146" s="59" t="s">
        <v>264</v>
      </c>
      <c r="D146" s="216">
        <v>13230</v>
      </c>
      <c r="E146" s="217">
        <f>'[1]P&amp;L from QB'!H137</f>
        <v>0</v>
      </c>
      <c r="F146" s="218">
        <f t="shared" si="40"/>
        <v>0</v>
      </c>
      <c r="G146" s="224"/>
      <c r="H146" s="219">
        <f>'[1]School Operations'!E43</f>
        <v>1000</v>
      </c>
      <c r="I146" s="278">
        <f>'[1]P&amp;L from QB'!L137</f>
        <v>354.63</v>
      </c>
      <c r="J146" s="226">
        <f t="shared" si="41"/>
        <v>0.35463</v>
      </c>
    </row>
    <row r="147" spans="1:10" x14ac:dyDescent="0.3">
      <c r="A147" s="6"/>
      <c r="B147" s="59" t="s">
        <v>265</v>
      </c>
      <c r="D147" s="216"/>
      <c r="E147" s="217"/>
      <c r="F147" s="218">
        <f t="shared" si="40"/>
        <v>0</v>
      </c>
      <c r="G147" s="224"/>
      <c r="H147" s="219">
        <f>'[1]School Operations'!E44</f>
        <v>10000</v>
      </c>
      <c r="I147" s="278"/>
      <c r="J147" s="226">
        <f t="shared" si="41"/>
        <v>0</v>
      </c>
    </row>
    <row r="148" spans="1:10" x14ac:dyDescent="0.3">
      <c r="A148" s="6"/>
      <c r="B148" s="59" t="s">
        <v>266</v>
      </c>
      <c r="D148" s="216"/>
      <c r="E148" s="217"/>
      <c r="F148" s="218">
        <f t="shared" si="40"/>
        <v>0</v>
      </c>
      <c r="G148" s="224"/>
      <c r="H148" s="219">
        <f>'[1]School Operations'!E45</f>
        <v>5000</v>
      </c>
      <c r="I148" s="278"/>
      <c r="J148" s="226">
        <f t="shared" si="41"/>
        <v>0</v>
      </c>
    </row>
    <row r="149" spans="1:10" x14ac:dyDescent="0.3">
      <c r="A149" s="6"/>
      <c r="B149" s="59" t="s">
        <v>267</v>
      </c>
      <c r="D149" s="216"/>
      <c r="E149" s="217"/>
      <c r="F149" s="218">
        <f t="shared" si="40"/>
        <v>0</v>
      </c>
      <c r="G149" s="224"/>
      <c r="H149" s="219">
        <f>'[1]School Operations'!E46</f>
        <v>10000</v>
      </c>
      <c r="I149" s="278"/>
      <c r="J149" s="226">
        <f t="shared" si="41"/>
        <v>0</v>
      </c>
    </row>
    <row r="150" spans="1:10" x14ac:dyDescent="0.3">
      <c r="A150" s="6"/>
      <c r="B150" s="59" t="s">
        <v>268</v>
      </c>
      <c r="D150" s="216"/>
      <c r="E150" s="217"/>
      <c r="F150" s="218">
        <f t="shared" si="40"/>
        <v>0</v>
      </c>
      <c r="G150" s="224"/>
      <c r="H150" s="219">
        <f>'[1]School Operations'!E47</f>
        <v>10000</v>
      </c>
      <c r="I150" s="278"/>
      <c r="J150" s="226">
        <f t="shared" si="41"/>
        <v>0</v>
      </c>
    </row>
    <row r="151" spans="1:10" s="9" customFormat="1" x14ac:dyDescent="0.3">
      <c r="D151" s="227">
        <f t="shared" ref="D151" si="42">SUM(D143:D150)</f>
        <v>197024.1</v>
      </c>
      <c r="E151" s="228">
        <f>SUM(E143:E150)</f>
        <v>240968.39</v>
      </c>
      <c r="F151" s="229">
        <f t="shared" si="40"/>
        <v>1.223040176303305</v>
      </c>
      <c r="G151" s="224"/>
      <c r="H151" s="230">
        <f t="shared" ref="H151" si="43">SUM(H143:H150)</f>
        <v>298500</v>
      </c>
      <c r="I151" s="280">
        <f>SUM(I143:I150)</f>
        <v>187619.08000000002</v>
      </c>
      <c r="J151" s="231">
        <f t="shared" si="41"/>
        <v>0.62853963149078729</v>
      </c>
    </row>
    <row r="152" spans="1:10" x14ac:dyDescent="0.3">
      <c r="A152" s="9" t="s">
        <v>269</v>
      </c>
      <c r="D152" s="216"/>
      <c r="E152" s="217"/>
      <c r="F152" s="218"/>
      <c r="G152" s="224"/>
      <c r="H152" s="219"/>
      <c r="I152" s="278"/>
      <c r="J152" s="226"/>
    </row>
    <row r="153" spans="1:10" x14ac:dyDescent="0.3">
      <c r="A153" s="6"/>
      <c r="B153" s="59" t="s">
        <v>270</v>
      </c>
      <c r="D153" s="216">
        <v>86138</v>
      </c>
      <c r="E153" s="217">
        <f>'[1]P&amp;L from QB'!H182</f>
        <v>72559.710000000006</v>
      </c>
      <c r="F153" s="218">
        <f t="shared" ref="F153:F157" si="44">IFERROR(E153/D153,0)</f>
        <v>0.84236585479114912</v>
      </c>
      <c r="G153" s="224"/>
      <c r="H153" s="219">
        <f>'[1]School Operations'!E50</f>
        <v>93747</v>
      </c>
      <c r="I153" s="278">
        <f>'[1]P&amp;L from QB'!L182</f>
        <v>79543.05</v>
      </c>
      <c r="J153" s="226">
        <f t="shared" ref="J153:J157" si="45">IFERROR(I153/H153,0)</f>
        <v>0.84848635156325003</v>
      </c>
    </row>
    <row r="154" spans="1:10" x14ac:dyDescent="0.3">
      <c r="A154" s="6"/>
      <c r="B154" s="59" t="s">
        <v>271</v>
      </c>
      <c r="D154" s="216"/>
      <c r="E154" s="217"/>
      <c r="F154" s="218">
        <f t="shared" si="44"/>
        <v>0</v>
      </c>
      <c r="G154" s="224"/>
      <c r="H154" s="219">
        <f>'[1]School Operations'!E51</f>
        <v>0</v>
      </c>
      <c r="I154" s="278"/>
      <c r="J154" s="226">
        <f t="shared" si="45"/>
        <v>0</v>
      </c>
    </row>
    <row r="155" spans="1:10" x14ac:dyDescent="0.3">
      <c r="A155" s="6"/>
      <c r="B155" s="59" t="s">
        <v>272</v>
      </c>
      <c r="D155" s="216"/>
      <c r="E155" s="217"/>
      <c r="F155" s="218">
        <f t="shared" si="44"/>
        <v>0</v>
      </c>
      <c r="G155" s="224"/>
      <c r="H155" s="219">
        <f>'[1]School Operations'!E52</f>
        <v>0</v>
      </c>
      <c r="I155" s="278"/>
      <c r="J155" s="226">
        <f t="shared" si="45"/>
        <v>0</v>
      </c>
    </row>
    <row r="156" spans="1:10" x14ac:dyDescent="0.3">
      <c r="A156" s="6"/>
      <c r="B156" s="59" t="s">
        <v>273</v>
      </c>
      <c r="D156" s="216"/>
      <c r="E156" s="217"/>
      <c r="F156" s="218">
        <f t="shared" si="44"/>
        <v>0</v>
      </c>
      <c r="G156" s="224"/>
      <c r="H156" s="219">
        <f>'[1]School Operations'!E53</f>
        <v>0</v>
      </c>
      <c r="I156" s="278"/>
      <c r="J156" s="226">
        <f t="shared" si="45"/>
        <v>0</v>
      </c>
    </row>
    <row r="157" spans="1:10" s="9" customFormat="1" x14ac:dyDescent="0.3">
      <c r="D157" s="227">
        <f t="shared" ref="D157" si="46">SUM(D153:D156)</f>
        <v>86138</v>
      </c>
      <c r="E157" s="228">
        <f>SUM(E153:E156)</f>
        <v>72559.710000000006</v>
      </c>
      <c r="F157" s="229">
        <f t="shared" si="44"/>
        <v>0.84236585479114912</v>
      </c>
      <c r="G157" s="224"/>
      <c r="H157" s="230">
        <f t="shared" ref="H157" si="47">SUM(H153:H156)</f>
        <v>93747</v>
      </c>
      <c r="I157" s="280">
        <f>SUM(I153:I156)</f>
        <v>79543.05</v>
      </c>
      <c r="J157" s="231">
        <f t="shared" si="45"/>
        <v>0.84848635156325003</v>
      </c>
    </row>
    <row r="158" spans="1:10" x14ac:dyDescent="0.3">
      <c r="A158" s="9" t="s">
        <v>274</v>
      </c>
      <c r="D158" s="216"/>
      <c r="E158" s="217"/>
      <c r="F158" s="218"/>
      <c r="G158" s="224"/>
      <c r="H158" s="219"/>
      <c r="I158" s="278"/>
      <c r="J158" s="226"/>
    </row>
    <row r="159" spans="1:10" x14ac:dyDescent="0.3">
      <c r="A159" s="6"/>
      <c r="B159" s="59" t="s">
        <v>275</v>
      </c>
      <c r="D159" s="216">
        <v>1368068</v>
      </c>
      <c r="E159" s="217">
        <f>'[1]P&amp;L from QB'!H185</f>
        <v>1368072</v>
      </c>
      <c r="F159" s="218">
        <f t="shared" ref="F159:F166" si="48">IFERROR(E159/D159,0)</f>
        <v>1.0000029238312715</v>
      </c>
      <c r="G159" s="224"/>
      <c r="H159" s="219">
        <f>[1]Facilities!E9</f>
        <v>1402269</v>
      </c>
      <c r="I159" s="278">
        <f>'[1]P&amp;L from QB'!L185</f>
        <v>1051704</v>
      </c>
      <c r="J159" s="226">
        <f t="shared" ref="J159:J166" si="49">IFERROR(I159/H159,0)</f>
        <v>0.75000160454235243</v>
      </c>
    </row>
    <row r="160" spans="1:10" x14ac:dyDescent="0.3">
      <c r="A160" s="6"/>
      <c r="B160" s="59" t="s">
        <v>276</v>
      </c>
      <c r="D160" s="216">
        <v>11551.050000000001</v>
      </c>
      <c r="E160" s="217">
        <f>'[1]P&amp;L from QB'!H194</f>
        <v>102167.64</v>
      </c>
      <c r="F160" s="218">
        <f t="shared" si="48"/>
        <v>8.8448790369706636</v>
      </c>
      <c r="G160" s="224"/>
      <c r="H160" s="219">
        <f>[1]Facilities!E10</f>
        <v>112384.40400000001</v>
      </c>
      <c r="I160" s="278">
        <f>'[1]P&amp;L from QB'!L194</f>
        <v>87994.95</v>
      </c>
      <c r="J160" s="226">
        <f t="shared" si="49"/>
        <v>0.78298186285705618</v>
      </c>
    </row>
    <row r="161" spans="1:10" x14ac:dyDescent="0.3">
      <c r="A161" s="6"/>
      <c r="B161" s="59" t="s">
        <v>277</v>
      </c>
      <c r="D161" s="216">
        <v>15000</v>
      </c>
      <c r="E161" s="217">
        <f>'[1]P&amp;L from QB'!H190</f>
        <v>65429.8</v>
      </c>
      <c r="F161" s="218">
        <f t="shared" si="48"/>
        <v>4.3619866666666667</v>
      </c>
      <c r="G161" s="224"/>
      <c r="H161" s="219">
        <f>[1]Facilities!E11</f>
        <v>30000</v>
      </c>
      <c r="I161" s="278">
        <f>'[1]P&amp;L from QB'!L190</f>
        <v>20501</v>
      </c>
      <c r="J161" s="226">
        <f t="shared" si="49"/>
        <v>0.68336666666666668</v>
      </c>
    </row>
    <row r="162" spans="1:10" x14ac:dyDescent="0.3">
      <c r="A162" s="6"/>
      <c r="B162" s="59" t="s">
        <v>278</v>
      </c>
      <c r="D162" s="216">
        <v>33240.9</v>
      </c>
      <c r="E162" s="217">
        <f>'[1]P&amp;L from QB'!H187+'[1]P&amp;L from QB'!H191+'[1]Bal Sht from QB'!$L$53</f>
        <v>83452.12</v>
      </c>
      <c r="F162" s="218">
        <f t="shared" si="48"/>
        <v>2.5105252866197962</v>
      </c>
      <c r="G162" s="224"/>
      <c r="H162" s="219">
        <f>[1]Facilities!E12</f>
        <v>100142.54399999999</v>
      </c>
      <c r="I162" s="278">
        <f>'[1]P&amp;L from QB'!L187+'[1]P&amp;L from QB'!L191</f>
        <v>80153.02</v>
      </c>
      <c r="J162" s="226">
        <f t="shared" si="49"/>
        <v>0.80038929308606344</v>
      </c>
    </row>
    <row r="163" spans="1:10" x14ac:dyDescent="0.3">
      <c r="A163" s="6"/>
      <c r="B163" s="59" t="s">
        <v>279</v>
      </c>
      <c r="D163" s="216">
        <v>3804.15</v>
      </c>
      <c r="E163" s="217">
        <f>'[1]P&amp;L from QB'!H192</f>
        <v>0</v>
      </c>
      <c r="F163" s="218">
        <f t="shared" si="48"/>
        <v>0</v>
      </c>
      <c r="G163" s="224"/>
      <c r="H163" s="219">
        <f>[1]Facilities!E13</f>
        <v>0</v>
      </c>
      <c r="I163" s="278">
        <f>'[1]P&amp;L from QB'!L192</f>
        <v>0</v>
      </c>
      <c r="J163" s="226">
        <f t="shared" si="49"/>
        <v>0</v>
      </c>
    </row>
    <row r="164" spans="1:10" x14ac:dyDescent="0.3">
      <c r="A164" s="6"/>
      <c r="B164" s="59" t="s">
        <v>280</v>
      </c>
      <c r="D164" s="216">
        <v>63000</v>
      </c>
      <c r="E164" s="217">
        <f>'[1]P&amp;L from QB'!H183</f>
        <v>16674.439999999999</v>
      </c>
      <c r="F164" s="218">
        <f t="shared" si="48"/>
        <v>0.26467365079365079</v>
      </c>
      <c r="G164" s="224"/>
      <c r="H164" s="219">
        <f>[1]Facilities!E14</f>
        <v>20009.327999999998</v>
      </c>
      <c r="I164" s="278">
        <f>'[1]P&amp;L from QB'!L183</f>
        <v>400</v>
      </c>
      <c r="J164" s="226">
        <f t="shared" si="49"/>
        <v>1.9990676348551038E-2</v>
      </c>
    </row>
    <row r="165" spans="1:10" x14ac:dyDescent="0.3">
      <c r="A165" s="6"/>
      <c r="B165" s="59" t="s">
        <v>213</v>
      </c>
      <c r="D165" s="216">
        <v>5250</v>
      </c>
      <c r="E165" s="217">
        <f>'[1]P&amp;L from QB'!H193</f>
        <v>0</v>
      </c>
      <c r="F165" s="218">
        <f t="shared" si="48"/>
        <v>0</v>
      </c>
      <c r="G165" s="224"/>
      <c r="H165" s="219">
        <f>[1]Facilities!E15</f>
        <v>0</v>
      </c>
      <c r="I165" s="278">
        <f>'[1]P&amp;L from QB'!L193</f>
        <v>0</v>
      </c>
      <c r="J165" s="226">
        <f t="shared" si="49"/>
        <v>0</v>
      </c>
    </row>
    <row r="166" spans="1:10" s="9" customFormat="1" x14ac:dyDescent="0.3">
      <c r="D166" s="227">
        <f>SUM(D159:D165)</f>
        <v>1499914.0999999999</v>
      </c>
      <c r="E166" s="228">
        <f>SUM(E159:E165)</f>
        <v>1635796</v>
      </c>
      <c r="F166" s="229">
        <f t="shared" si="48"/>
        <v>1.0905931212994131</v>
      </c>
      <c r="G166" s="224"/>
      <c r="H166" s="230">
        <f>SUM(H159:H165)</f>
        <v>1664805.2760000001</v>
      </c>
      <c r="I166" s="280">
        <f>SUM(I159:I165)</f>
        <v>1240752.97</v>
      </c>
      <c r="J166" s="231">
        <f t="shared" si="49"/>
        <v>0.74528414096640572</v>
      </c>
    </row>
    <row r="167" spans="1:10" x14ac:dyDescent="0.3">
      <c r="A167" s="9" t="s">
        <v>281</v>
      </c>
      <c r="D167" s="216"/>
      <c r="E167" s="217"/>
      <c r="F167" s="218"/>
      <c r="G167" s="224"/>
      <c r="H167" s="219"/>
      <c r="I167" s="278"/>
      <c r="J167" s="226"/>
    </row>
    <row r="168" spans="1:10" x14ac:dyDescent="0.3">
      <c r="A168" s="6"/>
      <c r="B168" s="59" t="s">
        <v>282</v>
      </c>
      <c r="D168" s="216"/>
      <c r="E168" s="217"/>
      <c r="F168" s="218">
        <f t="shared" ref="F168:F171" si="50">IFERROR(E168/D168,0)</f>
        <v>0</v>
      </c>
      <c r="G168" s="224"/>
      <c r="H168" s="219"/>
      <c r="I168" s="278">
        <f>'[1]P&amp;L from QB'!L199</f>
        <v>10082.25</v>
      </c>
      <c r="J168" s="226">
        <f t="shared" ref="J168:J171" si="51">IFERROR(I168/H168,0)</f>
        <v>0</v>
      </c>
    </row>
    <row r="169" spans="1:10" x14ac:dyDescent="0.3">
      <c r="A169" s="6"/>
      <c r="B169" s="59" t="s">
        <v>283</v>
      </c>
      <c r="D169" s="216"/>
      <c r="E169" s="217"/>
      <c r="F169" s="218">
        <f t="shared" si="50"/>
        <v>0</v>
      </c>
      <c r="G169" s="224"/>
      <c r="H169" s="219"/>
      <c r="I169" s="278"/>
      <c r="J169" s="226">
        <f t="shared" si="51"/>
        <v>0</v>
      </c>
    </row>
    <row r="170" spans="1:10" x14ac:dyDescent="0.3">
      <c r="A170" s="6"/>
      <c r="B170" s="59" t="s">
        <v>188</v>
      </c>
      <c r="D170" s="216"/>
      <c r="E170" s="217"/>
      <c r="F170" s="218">
        <f t="shared" si="50"/>
        <v>0</v>
      </c>
      <c r="G170" s="224"/>
      <c r="H170" s="219"/>
      <c r="I170" s="278"/>
      <c r="J170" s="226">
        <f t="shared" si="51"/>
        <v>0</v>
      </c>
    </row>
    <row r="171" spans="1:10" s="9" customFormat="1" x14ac:dyDescent="0.3">
      <c r="D171" s="227">
        <f t="shared" ref="D171" si="52">SUM(D168:D170)</f>
        <v>0</v>
      </c>
      <c r="E171" s="228">
        <f>SUM(E168:E170)</f>
        <v>0</v>
      </c>
      <c r="F171" s="229">
        <f t="shared" si="50"/>
        <v>0</v>
      </c>
      <c r="G171" s="224"/>
      <c r="H171" s="230">
        <f t="shared" ref="H171" si="53">SUM(H168:H170)</f>
        <v>0</v>
      </c>
      <c r="I171" s="280">
        <f>SUM(I168:I170)</f>
        <v>10082.25</v>
      </c>
      <c r="J171" s="231">
        <f t="shared" si="51"/>
        <v>0</v>
      </c>
    </row>
    <row r="172" spans="1:10" ht="5.15" customHeight="1" x14ac:dyDescent="0.3">
      <c r="A172" s="9"/>
      <c r="D172" s="232"/>
      <c r="E172" s="233"/>
      <c r="F172" s="234"/>
      <c r="G172" s="224"/>
      <c r="H172" s="235"/>
      <c r="I172" s="281"/>
      <c r="J172" s="236"/>
    </row>
    <row r="173" spans="1:10" s="9" customFormat="1" x14ac:dyDescent="0.3">
      <c r="A173" s="9" t="s">
        <v>284</v>
      </c>
      <c r="D173" s="237">
        <f>D91+D101+D109+D128+D133+D141+D151+D157+D166+D171</f>
        <v>12658211.807982201</v>
      </c>
      <c r="E173" s="238">
        <f>E91+E101+E109+E128+E133+E141+E151+E157+E166+E171</f>
        <v>13316254.020000003</v>
      </c>
      <c r="F173" s="239">
        <f>IFERROR(E173/D173,0)</f>
        <v>1.0519854006237157</v>
      </c>
      <c r="G173" s="224"/>
      <c r="H173" s="240">
        <f>H91+H101+H109+H128+H133+H141+H151+H157+H166+H171</f>
        <v>14298735.467563</v>
      </c>
      <c r="I173" s="282">
        <f>I91+I101+I109+I128+I133+I141+I151+I157+I166+I171</f>
        <v>10979487.580000002</v>
      </c>
      <c r="J173" s="241">
        <f>IFERROR(I173/H173,0)</f>
        <v>0.76786423561070938</v>
      </c>
    </row>
    <row r="174" spans="1:10" ht="5.15" customHeight="1" x14ac:dyDescent="0.3">
      <c r="A174" s="9"/>
      <c r="D174" s="232"/>
      <c r="E174" s="233"/>
      <c r="F174" s="234"/>
      <c r="G174" s="224"/>
      <c r="H174" s="235"/>
      <c r="I174" s="281"/>
      <c r="J174" s="236"/>
    </row>
    <row r="175" spans="1:10" s="9" customFormat="1" x14ac:dyDescent="0.3">
      <c r="A175" s="9" t="s">
        <v>285</v>
      </c>
      <c r="D175" s="237">
        <f>D49-D173</f>
        <v>1427760.5094177984</v>
      </c>
      <c r="E175" s="238">
        <f>E49-E173</f>
        <v>1018612.7999999952</v>
      </c>
      <c r="F175" s="239">
        <f>IFERROR(E175/D175,0)</f>
        <v>0.71343393607052319</v>
      </c>
      <c r="G175" s="224"/>
      <c r="H175" s="240">
        <f>H49-H173</f>
        <v>1589142.1324370001</v>
      </c>
      <c r="I175" s="282">
        <f>I49-I173</f>
        <v>697626.69999999739</v>
      </c>
      <c r="J175" s="241">
        <f>IFERROR(I175/H175,0)</f>
        <v>0.43899578631784475</v>
      </c>
    </row>
    <row r="176" spans="1:10" ht="5.15" customHeight="1" x14ac:dyDescent="0.3">
      <c r="D176" s="216"/>
      <c r="E176" s="217"/>
      <c r="F176" s="245"/>
      <c r="G176" s="224"/>
      <c r="H176" s="219"/>
      <c r="I176" s="278"/>
      <c r="J176" s="226"/>
    </row>
    <row r="177" spans="1:10" s="285" customFormat="1" x14ac:dyDescent="0.3">
      <c r="A177" s="246" t="s">
        <v>168</v>
      </c>
      <c r="B177" s="247"/>
      <c r="C177" s="247"/>
      <c r="D177" s="248"/>
      <c r="E177" s="249"/>
      <c r="F177" s="250"/>
      <c r="G177" s="251"/>
      <c r="H177" s="248"/>
      <c r="I177" s="252"/>
      <c r="J177" s="253"/>
    </row>
    <row r="178" spans="1:10" s="285" customFormat="1" x14ac:dyDescent="0.3">
      <c r="A178" s="246"/>
      <c r="B178" s="254" t="s">
        <v>286</v>
      </c>
      <c r="C178" s="247"/>
      <c r="D178" s="248"/>
      <c r="E178" s="249"/>
      <c r="F178" s="250"/>
      <c r="G178" s="251"/>
      <c r="H178" s="248"/>
      <c r="I178" s="252"/>
      <c r="J178" s="253"/>
    </row>
    <row r="179" spans="1:10" s="285" customFormat="1" x14ac:dyDescent="0.3">
      <c r="A179" s="246"/>
      <c r="B179" s="247"/>
      <c r="C179" s="247" t="s">
        <v>287</v>
      </c>
      <c r="D179" s="248"/>
      <c r="E179" s="249">
        <f>'[1]Bal Sht from QB'!$L$42+'[1]Bal Sht from QB'!$L$47+'[1]Bal Sht from QB'!$L$53</f>
        <v>0</v>
      </c>
      <c r="F179" s="250">
        <f>IFERROR(E179/D179,0)</f>
        <v>0</v>
      </c>
      <c r="G179" s="251"/>
      <c r="H179" s="248"/>
      <c r="I179" s="252">
        <f>'[1]Bal Sht from QB'!L58</f>
        <v>0</v>
      </c>
      <c r="J179" s="253">
        <f>IFERROR(I179/H179,0)</f>
        <v>0</v>
      </c>
    </row>
    <row r="180" spans="1:10" s="285" customFormat="1" x14ac:dyDescent="0.3">
      <c r="A180" s="247"/>
      <c r="B180" s="255" t="s">
        <v>288</v>
      </c>
      <c r="C180" s="247"/>
      <c r="D180" s="248"/>
      <c r="E180" s="249"/>
      <c r="F180" s="250"/>
      <c r="G180" s="251"/>
      <c r="H180" s="248"/>
      <c r="I180" s="252"/>
      <c r="J180" s="253"/>
    </row>
    <row r="181" spans="1:10" s="285" customFormat="1" x14ac:dyDescent="0.3">
      <c r="A181" s="247"/>
      <c r="B181" s="247"/>
      <c r="C181" s="247" t="s">
        <v>289</v>
      </c>
      <c r="D181" s="248">
        <v>-529458.630630631</v>
      </c>
      <c r="E181" s="249">
        <f>-'[1]P&amp;L from QB'!H186</f>
        <v>-529458.6</v>
      </c>
      <c r="F181" s="256">
        <f>IFERROR(E181/D181,0)</f>
        <v>0.99999994214726273</v>
      </c>
      <c r="G181" s="251"/>
      <c r="H181" s="248">
        <f>-[1]Lease!K9</f>
        <v>-495257.63063063077</v>
      </c>
      <c r="I181" s="252">
        <f>-'[1]P&amp;L from QB'!L186</f>
        <v>-371443.23</v>
      </c>
      <c r="J181" s="253">
        <f>IFERROR(I181/H181,0)</f>
        <v>0.75000001418862927</v>
      </c>
    </row>
    <row r="182" spans="1:10" s="285" customFormat="1" x14ac:dyDescent="0.3">
      <c r="A182" s="247"/>
      <c r="B182" s="247"/>
      <c r="C182" s="247" t="s">
        <v>290</v>
      </c>
      <c r="D182" s="248">
        <v>-202610.24299999999</v>
      </c>
      <c r="E182" s="249">
        <f>-'[1]P&amp;L from QB'!H197</f>
        <v>-274513.7</v>
      </c>
      <c r="F182" s="256">
        <f>IFERROR(E182/D182,0)</f>
        <v>1.3548855967760722</v>
      </c>
      <c r="G182" s="251"/>
      <c r="H182" s="248">
        <f>-[1]Facilities!K20</f>
        <v>-222871.26730000001</v>
      </c>
      <c r="I182" s="252">
        <f>-'[1]P&amp;L from QB'!L197</f>
        <v>-193789.52</v>
      </c>
      <c r="J182" s="253">
        <f>IFERROR(I182/H182,0)</f>
        <v>0.86951325017210945</v>
      </c>
    </row>
    <row r="183" spans="1:10" ht="5.15" customHeight="1" x14ac:dyDescent="0.3">
      <c r="A183" s="257"/>
      <c r="B183" s="257"/>
      <c r="C183" s="257"/>
      <c r="D183" s="258"/>
      <c r="E183" s="233"/>
      <c r="F183" s="259"/>
      <c r="G183" s="224"/>
      <c r="H183" s="258"/>
      <c r="I183" s="260"/>
      <c r="J183" s="261"/>
    </row>
    <row r="184" spans="1:10" s="9" customFormat="1" x14ac:dyDescent="0.3">
      <c r="A184" s="262" t="s">
        <v>291</v>
      </c>
      <c r="B184" s="262"/>
      <c r="C184" s="262"/>
      <c r="D184" s="263">
        <f>SUM(D179:D182)</f>
        <v>-732068.87363063102</v>
      </c>
      <c r="E184" s="238">
        <f>SUM(E179:E182)</f>
        <v>-803972.3</v>
      </c>
      <c r="F184" s="264">
        <f>IFERROR(E184/D184,0)</f>
        <v>1.0982194831106127</v>
      </c>
      <c r="G184" s="224"/>
      <c r="H184" s="263">
        <f>SUM(H179:H182)</f>
        <v>-718128.89793063072</v>
      </c>
      <c r="I184" s="265">
        <f>SUM(I179:I182)</f>
        <v>-565232.75</v>
      </c>
      <c r="J184" s="266">
        <f>IFERROR(I184/H184,0)</f>
        <v>0.78709094095611776</v>
      </c>
    </row>
    <row r="185" spans="1:10" ht="5.15" customHeight="1" x14ac:dyDescent="0.3">
      <c r="D185" s="232"/>
      <c r="E185" s="233"/>
      <c r="F185" s="267"/>
      <c r="G185" s="224"/>
      <c r="H185" s="235"/>
      <c r="I185" s="281"/>
      <c r="J185" s="236"/>
    </row>
    <row r="186" spans="1:10" s="9" customFormat="1" ht="14.5" thickBot="1" x14ac:dyDescent="0.35">
      <c r="A186" s="9" t="s">
        <v>292</v>
      </c>
      <c r="D186" s="268">
        <f>D175+D184</f>
        <v>695691.63578716735</v>
      </c>
      <c r="E186" s="269">
        <f t="shared" ref="E186" si="54">E175+E184</f>
        <v>214640.49999999511</v>
      </c>
      <c r="F186" s="270">
        <f>IFERROR(E186/D186,0)</f>
        <v>0.30852821704135019</v>
      </c>
      <c r="G186" s="224"/>
      <c r="H186" s="271">
        <f>H175+H184</f>
        <v>871013.23450636934</v>
      </c>
      <c r="I186" s="286">
        <f t="shared" ref="I186" si="55">I175+I184</f>
        <v>132393.94999999739</v>
      </c>
      <c r="J186" s="272">
        <f>IFERROR(I186/H186,0)</f>
        <v>0.15199992922613767</v>
      </c>
    </row>
    <row r="187" spans="1:10" x14ac:dyDescent="0.3">
      <c r="D187" s="118"/>
      <c r="E187" s="118"/>
      <c r="F187" s="273"/>
      <c r="G187" s="274"/>
    </row>
    <row r="188" spans="1:10" x14ac:dyDescent="0.3">
      <c r="D188" s="118"/>
      <c r="E188" s="118"/>
      <c r="F188" s="118"/>
      <c r="G188" s="274"/>
    </row>
    <row r="189" spans="1:10" x14ac:dyDescent="0.3">
      <c r="D189" s="118"/>
      <c r="E189" s="118"/>
      <c r="F189" s="273"/>
      <c r="G189" s="274"/>
    </row>
    <row r="190" spans="1:10" x14ac:dyDescent="0.3">
      <c r="D190" s="118"/>
      <c r="E190" s="118"/>
      <c r="F190" s="273"/>
      <c r="G190" s="274"/>
      <c r="I190" s="287"/>
    </row>
    <row r="191" spans="1:10" x14ac:dyDescent="0.3">
      <c r="D191" s="118"/>
      <c r="E191" s="118"/>
      <c r="F191" s="273"/>
      <c r="G191" s="274"/>
    </row>
    <row r="192" spans="1:10" x14ac:dyDescent="0.3">
      <c r="D192" s="118"/>
      <c r="E192" s="118"/>
      <c r="F192" s="273"/>
      <c r="G192" s="274"/>
    </row>
    <row r="193" spans="4:7" x14ac:dyDescent="0.3">
      <c r="D193" s="118"/>
      <c r="E193" s="118"/>
      <c r="F193" s="273"/>
      <c r="G193" s="274"/>
    </row>
    <row r="194" spans="4:7" x14ac:dyDescent="0.3">
      <c r="D194" s="118"/>
      <c r="E194" s="118"/>
      <c r="F194" s="273"/>
      <c r="G194" s="274"/>
    </row>
    <row r="195" spans="4:7" x14ac:dyDescent="0.3">
      <c r="D195" s="118"/>
      <c r="E195" s="118"/>
      <c r="F195" s="273"/>
      <c r="G195" s="274"/>
    </row>
    <row r="196" spans="4:7" x14ac:dyDescent="0.3">
      <c r="D196" s="118"/>
      <c r="E196" s="118"/>
      <c r="F196" s="273"/>
      <c r="G196" s="274"/>
    </row>
    <row r="197" spans="4:7" x14ac:dyDescent="0.3">
      <c r="D197" s="118"/>
      <c r="E197" s="118"/>
      <c r="F197" s="273"/>
      <c r="G197" s="274"/>
    </row>
    <row r="198" spans="4:7" x14ac:dyDescent="0.3">
      <c r="D198" s="118"/>
      <c r="E198" s="118"/>
      <c r="F198" s="273"/>
      <c r="G198" s="274"/>
    </row>
    <row r="199" spans="4:7" x14ac:dyDescent="0.3">
      <c r="D199" s="118"/>
      <c r="E199" s="118"/>
      <c r="F199" s="273"/>
      <c r="G199" s="274"/>
    </row>
    <row r="200" spans="4:7" x14ac:dyDescent="0.3">
      <c r="D200" s="118"/>
      <c r="E200" s="118"/>
      <c r="F200" s="273"/>
      <c r="G200" s="274"/>
    </row>
    <row r="201" spans="4:7" x14ac:dyDescent="0.3">
      <c r="D201" s="118"/>
      <c r="E201" s="118"/>
      <c r="F201" s="273"/>
      <c r="G201" s="274"/>
    </row>
    <row r="202" spans="4:7" x14ac:dyDescent="0.3">
      <c r="D202" s="118"/>
      <c r="E202" s="118"/>
      <c r="F202" s="273"/>
      <c r="G202" s="274"/>
    </row>
    <row r="203" spans="4:7" x14ac:dyDescent="0.3">
      <c r="D203" s="118"/>
      <c r="E203" s="118"/>
      <c r="F203" s="273"/>
      <c r="G203" s="274"/>
    </row>
    <row r="204" spans="4:7" x14ac:dyDescent="0.3">
      <c r="D204" s="118"/>
      <c r="E204" s="118"/>
      <c r="F204" s="273"/>
      <c r="G204" s="274"/>
    </row>
    <row r="205" spans="4:7" x14ac:dyDescent="0.3">
      <c r="D205" s="118"/>
      <c r="E205" s="118"/>
      <c r="F205" s="273"/>
      <c r="G205" s="274"/>
    </row>
    <row r="206" spans="4:7" x14ac:dyDescent="0.3">
      <c r="D206" s="118"/>
      <c r="E206" s="118"/>
      <c r="F206" s="273"/>
      <c r="G206" s="274"/>
    </row>
    <row r="207" spans="4:7" x14ac:dyDescent="0.3">
      <c r="D207" s="118"/>
      <c r="E207" s="118"/>
      <c r="F207" s="273"/>
      <c r="G207" s="274"/>
    </row>
    <row r="208" spans="4:7" x14ac:dyDescent="0.3">
      <c r="D208" s="118"/>
      <c r="E208" s="118"/>
      <c r="F208" s="273"/>
      <c r="G208" s="274"/>
    </row>
    <row r="209" spans="4:7" x14ac:dyDescent="0.3">
      <c r="D209" s="118"/>
      <c r="E209" s="118"/>
      <c r="F209" s="273"/>
      <c r="G209" s="274"/>
    </row>
    <row r="210" spans="4:7" x14ac:dyDescent="0.3">
      <c r="D210" s="118"/>
      <c r="E210" s="118"/>
      <c r="F210" s="273"/>
      <c r="G210" s="274"/>
    </row>
    <row r="211" spans="4:7" x14ac:dyDescent="0.3">
      <c r="D211" s="118"/>
      <c r="E211" s="118"/>
      <c r="F211" s="273"/>
      <c r="G211" s="274"/>
    </row>
    <row r="212" spans="4:7" x14ac:dyDescent="0.3">
      <c r="D212" s="118"/>
      <c r="E212" s="118"/>
      <c r="F212" s="273"/>
      <c r="G212" s="274"/>
    </row>
    <row r="213" spans="4:7" x14ac:dyDescent="0.3">
      <c r="D213" s="118"/>
      <c r="E213" s="118"/>
      <c r="F213" s="273"/>
      <c r="G213" s="274"/>
    </row>
    <row r="214" spans="4:7" x14ac:dyDescent="0.3">
      <c r="D214" s="118"/>
      <c r="E214" s="118"/>
      <c r="F214" s="273"/>
      <c r="G214" s="274"/>
    </row>
    <row r="215" spans="4:7" x14ac:dyDescent="0.3">
      <c r="D215" s="118"/>
      <c r="E215" s="118"/>
      <c r="F215" s="273"/>
      <c r="G215" s="274"/>
    </row>
    <row r="216" spans="4:7" x14ac:dyDescent="0.3">
      <c r="D216" s="118"/>
      <c r="E216" s="118"/>
      <c r="F216" s="273"/>
      <c r="G216" s="274"/>
    </row>
    <row r="217" spans="4:7" x14ac:dyDescent="0.3">
      <c r="D217" s="118"/>
      <c r="E217" s="118"/>
      <c r="F217" s="273"/>
      <c r="G217" s="274"/>
    </row>
    <row r="218" spans="4:7" x14ac:dyDescent="0.3">
      <c r="D218" s="118"/>
      <c r="E218" s="118"/>
      <c r="F218" s="273"/>
      <c r="G218" s="274"/>
    </row>
    <row r="219" spans="4:7" x14ac:dyDescent="0.3">
      <c r="D219" s="118"/>
      <c r="E219" s="118"/>
      <c r="F219" s="273"/>
      <c r="G219" s="274"/>
    </row>
    <row r="220" spans="4:7" x14ac:dyDescent="0.3">
      <c r="D220" s="118"/>
      <c r="E220" s="118"/>
      <c r="F220" s="273"/>
      <c r="G220" s="274"/>
    </row>
    <row r="221" spans="4:7" x14ac:dyDescent="0.3">
      <c r="D221" s="118"/>
      <c r="E221" s="118"/>
      <c r="F221" s="273"/>
      <c r="G221" s="274"/>
    </row>
    <row r="222" spans="4:7" x14ac:dyDescent="0.3">
      <c r="D222" s="118"/>
      <c r="E222" s="118"/>
      <c r="F222" s="273"/>
      <c r="G222" s="274"/>
    </row>
    <row r="223" spans="4:7" x14ac:dyDescent="0.3">
      <c r="D223" s="118"/>
      <c r="E223" s="118"/>
      <c r="F223" s="273"/>
      <c r="G223" s="274"/>
    </row>
    <row r="224" spans="4:7" x14ac:dyDescent="0.3">
      <c r="D224" s="118"/>
      <c r="E224" s="118"/>
      <c r="F224" s="273"/>
      <c r="G224" s="274"/>
    </row>
    <row r="225" spans="4:7" x14ac:dyDescent="0.3">
      <c r="D225" s="118"/>
      <c r="E225" s="118"/>
      <c r="F225" s="273"/>
      <c r="G225" s="274"/>
    </row>
    <row r="226" spans="4:7" x14ac:dyDescent="0.3">
      <c r="D226" s="118"/>
      <c r="E226" s="118"/>
      <c r="F226" s="273"/>
      <c r="G226" s="274"/>
    </row>
    <row r="227" spans="4:7" x14ac:dyDescent="0.3">
      <c r="D227" s="118"/>
      <c r="E227" s="118"/>
      <c r="F227" s="273"/>
      <c r="G227" s="274"/>
    </row>
    <row r="228" spans="4:7" x14ac:dyDescent="0.3">
      <c r="D228" s="118"/>
      <c r="E228" s="118"/>
      <c r="F228" s="273"/>
      <c r="G228" s="274"/>
    </row>
    <row r="229" spans="4:7" x14ac:dyDescent="0.3">
      <c r="D229" s="118"/>
      <c r="E229" s="118"/>
      <c r="F229" s="273"/>
      <c r="G229" s="274"/>
    </row>
    <row r="230" spans="4:7" x14ac:dyDescent="0.3">
      <c r="D230" s="118"/>
      <c r="E230" s="118"/>
      <c r="F230" s="273"/>
      <c r="G230" s="274"/>
    </row>
    <row r="231" spans="4:7" x14ac:dyDescent="0.3">
      <c r="D231" s="118"/>
      <c r="E231" s="118"/>
      <c r="F231" s="273"/>
      <c r="G231" s="274"/>
    </row>
    <row r="232" spans="4:7" x14ac:dyDescent="0.3">
      <c r="D232" s="118"/>
      <c r="E232" s="118"/>
      <c r="F232" s="273"/>
      <c r="G232" s="274"/>
    </row>
    <row r="233" spans="4:7" x14ac:dyDescent="0.3">
      <c r="D233" s="118"/>
      <c r="E233" s="118"/>
      <c r="F233" s="273"/>
      <c r="G233" s="274"/>
    </row>
    <row r="234" spans="4:7" x14ac:dyDescent="0.3">
      <c r="D234" s="118"/>
      <c r="E234" s="118"/>
      <c r="F234" s="273"/>
      <c r="G234" s="274"/>
    </row>
    <row r="235" spans="4:7" x14ac:dyDescent="0.3">
      <c r="D235" s="118"/>
      <c r="E235" s="118"/>
      <c r="F235" s="273"/>
      <c r="G235" s="274"/>
    </row>
    <row r="236" spans="4:7" x14ac:dyDescent="0.3">
      <c r="D236" s="118"/>
      <c r="E236" s="118"/>
      <c r="F236" s="273"/>
      <c r="G236" s="274"/>
    </row>
    <row r="237" spans="4:7" x14ac:dyDescent="0.3">
      <c r="D237" s="118"/>
      <c r="E237" s="118"/>
      <c r="F237" s="273"/>
      <c r="G237" s="274"/>
    </row>
    <row r="238" spans="4:7" x14ac:dyDescent="0.3">
      <c r="D238" s="118"/>
      <c r="E238" s="118"/>
      <c r="F238" s="273"/>
      <c r="G238" s="274"/>
    </row>
    <row r="239" spans="4:7" x14ac:dyDescent="0.3">
      <c r="D239" s="118"/>
      <c r="E239" s="118"/>
      <c r="F239" s="273"/>
      <c r="G239" s="274"/>
    </row>
    <row r="240" spans="4:7" x14ac:dyDescent="0.3">
      <c r="D240" s="118"/>
      <c r="E240" s="118"/>
      <c r="F240" s="273"/>
      <c r="G240" s="274"/>
    </row>
    <row r="241" spans="4:7" x14ac:dyDescent="0.3">
      <c r="D241" s="118"/>
      <c r="E241" s="118"/>
      <c r="F241" s="273"/>
      <c r="G241" s="274"/>
    </row>
    <row r="242" spans="4:7" x14ac:dyDescent="0.3">
      <c r="D242" s="118"/>
      <c r="E242" s="118"/>
      <c r="F242" s="273"/>
      <c r="G242" s="274"/>
    </row>
    <row r="243" spans="4:7" x14ac:dyDescent="0.3">
      <c r="D243" s="118"/>
      <c r="E243" s="118"/>
      <c r="F243" s="273"/>
      <c r="G243" s="274"/>
    </row>
    <row r="244" spans="4:7" x14ac:dyDescent="0.3">
      <c r="D244" s="118"/>
      <c r="E244" s="118"/>
      <c r="F244" s="273"/>
      <c r="G244" s="274"/>
    </row>
    <row r="245" spans="4:7" x14ac:dyDescent="0.3">
      <c r="D245" s="118"/>
      <c r="E245" s="118"/>
      <c r="F245" s="273"/>
      <c r="G245" s="274"/>
    </row>
    <row r="246" spans="4:7" x14ac:dyDescent="0.3">
      <c r="D246" s="118"/>
      <c r="E246" s="118"/>
      <c r="F246" s="273"/>
      <c r="G246" s="274"/>
    </row>
    <row r="247" spans="4:7" x14ac:dyDescent="0.3">
      <c r="D247" s="118"/>
      <c r="E247" s="118"/>
      <c r="F247" s="273"/>
      <c r="G247" s="274"/>
    </row>
    <row r="248" spans="4:7" x14ac:dyDescent="0.3">
      <c r="D248" s="118"/>
      <c r="E248" s="118"/>
      <c r="F248" s="273"/>
      <c r="G248" s="274"/>
    </row>
    <row r="249" spans="4:7" x14ac:dyDescent="0.3">
      <c r="D249" s="118"/>
      <c r="E249" s="118"/>
      <c r="F249" s="273"/>
      <c r="G249" s="274"/>
    </row>
    <row r="250" spans="4:7" x14ac:dyDescent="0.3">
      <c r="D250" s="118"/>
      <c r="E250" s="118"/>
      <c r="F250" s="273"/>
      <c r="G250" s="274"/>
    </row>
    <row r="251" spans="4:7" x14ac:dyDescent="0.3">
      <c r="D251" s="118"/>
      <c r="E251" s="118"/>
      <c r="F251" s="273"/>
      <c r="G251" s="274"/>
    </row>
    <row r="252" spans="4:7" x14ac:dyDescent="0.3">
      <c r="D252" s="118"/>
      <c r="E252" s="118"/>
      <c r="F252" s="273"/>
      <c r="G252" s="274"/>
    </row>
    <row r="253" spans="4:7" x14ac:dyDescent="0.3">
      <c r="D253" s="118"/>
      <c r="E253" s="118"/>
      <c r="F253" s="273"/>
      <c r="G253" s="274"/>
    </row>
    <row r="254" spans="4:7" x14ac:dyDescent="0.3">
      <c r="D254" s="118"/>
      <c r="E254" s="118"/>
      <c r="F254" s="273"/>
      <c r="G254" s="274"/>
    </row>
    <row r="255" spans="4:7" x14ac:dyDescent="0.3">
      <c r="D255" s="118"/>
      <c r="E255" s="118"/>
      <c r="F255" s="273"/>
      <c r="G255" s="274"/>
    </row>
    <row r="256" spans="4:7" x14ac:dyDescent="0.3">
      <c r="D256" s="118"/>
      <c r="E256" s="118"/>
      <c r="F256" s="273"/>
      <c r="G256" s="274"/>
    </row>
    <row r="257" spans="4:7" x14ac:dyDescent="0.3">
      <c r="D257" s="118"/>
      <c r="E257" s="118"/>
      <c r="F257" s="273"/>
      <c r="G257" s="274"/>
    </row>
    <row r="258" spans="4:7" x14ac:dyDescent="0.3">
      <c r="D258" s="118"/>
      <c r="E258" s="118"/>
      <c r="F258" s="273"/>
      <c r="G258" s="274"/>
    </row>
    <row r="259" spans="4:7" x14ac:dyDescent="0.3">
      <c r="D259" s="118"/>
      <c r="E259" s="118"/>
      <c r="F259" s="273"/>
      <c r="G259" s="274"/>
    </row>
    <row r="260" spans="4:7" x14ac:dyDescent="0.3">
      <c r="D260" s="118"/>
      <c r="E260" s="118"/>
      <c r="F260" s="273"/>
      <c r="G260" s="274"/>
    </row>
    <row r="261" spans="4:7" x14ac:dyDescent="0.3">
      <c r="D261" s="118"/>
      <c r="E261" s="118"/>
      <c r="F261" s="273"/>
      <c r="G261" s="274"/>
    </row>
    <row r="262" spans="4:7" x14ac:dyDescent="0.3">
      <c r="D262" s="118"/>
      <c r="E262" s="118"/>
      <c r="F262" s="273"/>
      <c r="G262" s="274"/>
    </row>
    <row r="263" spans="4:7" x14ac:dyDescent="0.3">
      <c r="D263" s="118"/>
      <c r="E263" s="118"/>
      <c r="F263" s="273"/>
      <c r="G263" s="274"/>
    </row>
    <row r="264" spans="4:7" x14ac:dyDescent="0.3">
      <c r="D264" s="118"/>
      <c r="E264" s="118"/>
      <c r="F264" s="273"/>
      <c r="G264" s="274"/>
    </row>
    <row r="265" spans="4:7" x14ac:dyDescent="0.3">
      <c r="D265" s="118"/>
      <c r="E265" s="118"/>
      <c r="F265" s="273"/>
      <c r="G265" s="274"/>
    </row>
    <row r="266" spans="4:7" x14ac:dyDescent="0.3">
      <c r="D266" s="118"/>
      <c r="E266" s="118"/>
      <c r="F266" s="273"/>
      <c r="G266" s="274"/>
    </row>
    <row r="267" spans="4:7" x14ac:dyDescent="0.3">
      <c r="D267" s="118"/>
      <c r="E267" s="118"/>
      <c r="F267" s="273"/>
      <c r="G267" s="274"/>
    </row>
    <row r="268" spans="4:7" x14ac:dyDescent="0.3">
      <c r="D268" s="118"/>
      <c r="E268" s="118"/>
      <c r="F268" s="273"/>
      <c r="G268" s="274"/>
    </row>
    <row r="269" spans="4:7" x14ac:dyDescent="0.3">
      <c r="D269" s="118"/>
      <c r="E269" s="118"/>
      <c r="F269" s="273"/>
      <c r="G269" s="274"/>
    </row>
    <row r="270" spans="4:7" x14ac:dyDescent="0.3">
      <c r="D270" s="118"/>
      <c r="E270" s="118"/>
      <c r="F270" s="273"/>
      <c r="G270" s="274"/>
    </row>
    <row r="271" spans="4:7" x14ac:dyDescent="0.3">
      <c r="D271" s="118"/>
      <c r="E271" s="118"/>
      <c r="F271" s="273"/>
      <c r="G271" s="274"/>
    </row>
    <row r="272" spans="4:7" x14ac:dyDescent="0.3">
      <c r="D272" s="118"/>
      <c r="E272" s="118"/>
      <c r="F272" s="273"/>
      <c r="G272" s="274"/>
    </row>
    <row r="273" spans="4:7" x14ac:dyDescent="0.3">
      <c r="D273" s="118"/>
      <c r="E273" s="118"/>
      <c r="F273" s="273"/>
      <c r="G273" s="274"/>
    </row>
    <row r="274" spans="4:7" x14ac:dyDescent="0.3">
      <c r="D274" s="118"/>
      <c r="E274" s="118"/>
      <c r="F274" s="273"/>
      <c r="G274" s="274"/>
    </row>
    <row r="275" spans="4:7" x14ac:dyDescent="0.3">
      <c r="D275" s="118"/>
      <c r="E275" s="118"/>
      <c r="G275" s="274"/>
    </row>
    <row r="276" spans="4:7" x14ac:dyDescent="0.3">
      <c r="D276" s="118"/>
      <c r="E276" s="118"/>
      <c r="G276" s="274"/>
    </row>
    <row r="277" spans="4:7" x14ac:dyDescent="0.3">
      <c r="D277" s="118"/>
      <c r="E277" s="118"/>
      <c r="G277" s="274"/>
    </row>
    <row r="278" spans="4:7" x14ac:dyDescent="0.3">
      <c r="D278" s="118"/>
      <c r="E278" s="118"/>
      <c r="G278" s="274"/>
    </row>
    <row r="279" spans="4:7" x14ac:dyDescent="0.3">
      <c r="D279" s="118"/>
      <c r="E279" s="118"/>
      <c r="G279" s="274"/>
    </row>
    <row r="280" spans="4:7" x14ac:dyDescent="0.3">
      <c r="D280" s="118"/>
      <c r="E280" s="118"/>
      <c r="G280" s="274"/>
    </row>
    <row r="281" spans="4:7" x14ac:dyDescent="0.3">
      <c r="D281" s="118"/>
      <c r="E281" s="118"/>
      <c r="G281" s="274"/>
    </row>
    <row r="282" spans="4:7" x14ac:dyDescent="0.3">
      <c r="D282" s="118"/>
      <c r="E282" s="118"/>
      <c r="G282" s="274"/>
    </row>
    <row r="283" spans="4:7" x14ac:dyDescent="0.3">
      <c r="D283" s="118"/>
      <c r="E283" s="118"/>
      <c r="G283" s="274"/>
    </row>
    <row r="284" spans="4:7" x14ac:dyDescent="0.3">
      <c r="D284" s="118"/>
      <c r="E284" s="118"/>
      <c r="G284" s="274"/>
    </row>
    <row r="285" spans="4:7" x14ac:dyDescent="0.3">
      <c r="D285" s="118"/>
      <c r="E285" s="118"/>
      <c r="G285" s="274"/>
    </row>
    <row r="286" spans="4:7" x14ac:dyDescent="0.3">
      <c r="D286" s="118"/>
      <c r="E286" s="118"/>
      <c r="G286" s="274"/>
    </row>
    <row r="287" spans="4:7" x14ac:dyDescent="0.3">
      <c r="D287" s="118"/>
      <c r="E287" s="118"/>
      <c r="G287" s="274"/>
    </row>
    <row r="288" spans="4:7" x14ac:dyDescent="0.3">
      <c r="D288" s="118"/>
      <c r="E288" s="118"/>
      <c r="G288" s="274"/>
    </row>
    <row r="289" spans="4:7" x14ac:dyDescent="0.3">
      <c r="D289" s="118"/>
      <c r="E289" s="118"/>
      <c r="G289" s="274"/>
    </row>
    <row r="290" spans="4:7" x14ac:dyDescent="0.3">
      <c r="D290" s="118"/>
      <c r="E290" s="118"/>
      <c r="G290" s="274"/>
    </row>
    <row r="291" spans="4:7" x14ac:dyDescent="0.3">
      <c r="D291" s="118"/>
      <c r="E291" s="118"/>
      <c r="G291" s="274"/>
    </row>
    <row r="292" spans="4:7" x14ac:dyDescent="0.3">
      <c r="D292" s="118"/>
      <c r="E292" s="118"/>
      <c r="G292" s="274"/>
    </row>
    <row r="293" spans="4:7" x14ac:dyDescent="0.3">
      <c r="D293" s="118"/>
      <c r="E293" s="118"/>
      <c r="G293" s="274"/>
    </row>
    <row r="294" spans="4:7" x14ac:dyDescent="0.3">
      <c r="D294" s="118"/>
      <c r="E294" s="118"/>
      <c r="G294" s="274"/>
    </row>
    <row r="295" spans="4:7" x14ac:dyDescent="0.3">
      <c r="D295" s="118"/>
      <c r="E295" s="118"/>
      <c r="G295" s="274"/>
    </row>
    <row r="296" spans="4:7" x14ac:dyDescent="0.3">
      <c r="D296" s="118"/>
      <c r="E296" s="118"/>
      <c r="G296" s="274"/>
    </row>
    <row r="297" spans="4:7" x14ac:dyDescent="0.3">
      <c r="D297" s="118"/>
      <c r="E297" s="118"/>
      <c r="G297" s="274"/>
    </row>
    <row r="298" spans="4:7" x14ac:dyDescent="0.3">
      <c r="D298" s="118"/>
      <c r="E298" s="118"/>
      <c r="G298" s="274"/>
    </row>
    <row r="299" spans="4:7" x14ac:dyDescent="0.3">
      <c r="D299" s="118"/>
      <c r="E299" s="118"/>
      <c r="G299" s="274"/>
    </row>
    <row r="300" spans="4:7" x14ac:dyDescent="0.3">
      <c r="D300" s="118"/>
      <c r="E300" s="118"/>
      <c r="G300" s="274"/>
    </row>
    <row r="301" spans="4:7" x14ac:dyDescent="0.3">
      <c r="D301" s="118"/>
      <c r="E301" s="118"/>
      <c r="G301" s="274"/>
    </row>
    <row r="302" spans="4:7" x14ac:dyDescent="0.3">
      <c r="D302" s="118"/>
      <c r="E302" s="118"/>
      <c r="G302" s="274"/>
    </row>
    <row r="303" spans="4:7" x14ac:dyDescent="0.3">
      <c r="D303" s="118"/>
      <c r="E303" s="118"/>
      <c r="G303" s="274"/>
    </row>
    <row r="304" spans="4:7" x14ac:dyDescent="0.3">
      <c r="D304" s="118"/>
      <c r="E304" s="118"/>
      <c r="G304" s="274"/>
    </row>
    <row r="305" spans="4:7" x14ac:dyDescent="0.3">
      <c r="D305" s="118"/>
      <c r="E305" s="118"/>
      <c r="G305" s="274"/>
    </row>
    <row r="306" spans="4:7" x14ac:dyDescent="0.3">
      <c r="D306" s="118"/>
      <c r="E306" s="118"/>
      <c r="G306" s="274"/>
    </row>
    <row r="307" spans="4:7" x14ac:dyDescent="0.3">
      <c r="D307" s="118"/>
      <c r="E307" s="118"/>
      <c r="G307" s="274"/>
    </row>
    <row r="308" spans="4:7" x14ac:dyDescent="0.3">
      <c r="D308" s="118"/>
      <c r="E308" s="118"/>
      <c r="G308" s="274"/>
    </row>
    <row r="309" spans="4:7" x14ac:dyDescent="0.3">
      <c r="D309" s="118"/>
      <c r="E309" s="118"/>
      <c r="G309" s="274"/>
    </row>
    <row r="310" spans="4:7" x14ac:dyDescent="0.3">
      <c r="D310" s="118"/>
      <c r="E310" s="118"/>
      <c r="G310" s="274"/>
    </row>
    <row r="311" spans="4:7" x14ac:dyDescent="0.3">
      <c r="D311" s="118"/>
      <c r="E311" s="118"/>
      <c r="G311" s="274"/>
    </row>
    <row r="312" spans="4:7" x14ac:dyDescent="0.3">
      <c r="D312" s="118"/>
      <c r="E312" s="118"/>
      <c r="G312" s="274"/>
    </row>
    <row r="313" spans="4:7" x14ac:dyDescent="0.3">
      <c r="D313" s="118"/>
      <c r="E313" s="118"/>
      <c r="G313" s="274"/>
    </row>
    <row r="314" spans="4:7" x14ac:dyDescent="0.3">
      <c r="D314" s="118"/>
      <c r="E314" s="118"/>
      <c r="G314" s="274"/>
    </row>
    <row r="315" spans="4:7" x14ac:dyDescent="0.3">
      <c r="D315" s="118"/>
      <c r="E315" s="118"/>
      <c r="G315" s="274"/>
    </row>
    <row r="316" spans="4:7" x14ac:dyDescent="0.3">
      <c r="D316" s="118"/>
      <c r="E316" s="118"/>
      <c r="G316" s="274"/>
    </row>
    <row r="317" spans="4:7" x14ac:dyDescent="0.3">
      <c r="D317" s="118"/>
      <c r="E317" s="118"/>
      <c r="G317" s="274"/>
    </row>
    <row r="318" spans="4:7" x14ac:dyDescent="0.3">
      <c r="D318" s="118"/>
      <c r="E318" s="118"/>
      <c r="G318" s="274"/>
    </row>
    <row r="319" spans="4:7" x14ac:dyDescent="0.3">
      <c r="D319" s="118"/>
      <c r="E319" s="118"/>
      <c r="G319" s="274"/>
    </row>
    <row r="320" spans="4:7" x14ac:dyDescent="0.3">
      <c r="D320" s="118"/>
      <c r="E320" s="118"/>
      <c r="G320" s="274"/>
    </row>
    <row r="321" spans="4:7" x14ac:dyDescent="0.3">
      <c r="D321" s="118"/>
      <c r="E321" s="118"/>
      <c r="G321" s="274"/>
    </row>
    <row r="322" spans="4:7" x14ac:dyDescent="0.3">
      <c r="D322" s="118"/>
      <c r="E322" s="118"/>
      <c r="G322" s="274"/>
    </row>
    <row r="323" spans="4:7" x14ac:dyDescent="0.3">
      <c r="D323" s="118"/>
      <c r="E323" s="118"/>
      <c r="G323" s="274"/>
    </row>
    <row r="324" spans="4:7" x14ac:dyDescent="0.3">
      <c r="D324" s="118"/>
      <c r="E324" s="118"/>
      <c r="G324" s="274"/>
    </row>
    <row r="325" spans="4:7" x14ac:dyDescent="0.3">
      <c r="D325" s="118"/>
      <c r="E325" s="118"/>
      <c r="G325" s="274"/>
    </row>
    <row r="326" spans="4:7" x14ac:dyDescent="0.3">
      <c r="D326" s="118"/>
      <c r="E326" s="118"/>
      <c r="G326" s="274"/>
    </row>
    <row r="327" spans="4:7" x14ac:dyDescent="0.3">
      <c r="D327" s="118"/>
      <c r="E327" s="118"/>
      <c r="G327" s="274"/>
    </row>
    <row r="328" spans="4:7" x14ac:dyDescent="0.3">
      <c r="D328" s="118"/>
      <c r="E328" s="118"/>
      <c r="G328" s="274"/>
    </row>
    <row r="329" spans="4:7" x14ac:dyDescent="0.3">
      <c r="D329" s="118"/>
      <c r="E329" s="118"/>
      <c r="G329" s="274"/>
    </row>
    <row r="330" spans="4:7" x14ac:dyDescent="0.3">
      <c r="D330" s="118"/>
      <c r="E330" s="118"/>
    </row>
    <row r="331" spans="4:7" x14ac:dyDescent="0.3">
      <c r="D331" s="118"/>
      <c r="E331" s="118"/>
    </row>
    <row r="332" spans="4:7" x14ac:dyDescent="0.3">
      <c r="D332" s="118"/>
      <c r="E332" s="118"/>
    </row>
    <row r="333" spans="4:7" x14ac:dyDescent="0.3">
      <c r="D333" s="118"/>
      <c r="E333" s="118"/>
    </row>
    <row r="334" spans="4:7" x14ac:dyDescent="0.3">
      <c r="D334" s="118"/>
      <c r="E334" s="118"/>
    </row>
    <row r="335" spans="4:7" x14ac:dyDescent="0.3">
      <c r="D335" s="118"/>
      <c r="E335" s="118"/>
    </row>
    <row r="336" spans="4:7" x14ac:dyDescent="0.3">
      <c r="D336" s="118"/>
      <c r="E336" s="118"/>
    </row>
    <row r="337" spans="4:5" x14ac:dyDescent="0.3">
      <c r="D337" s="118"/>
      <c r="E337" s="118"/>
    </row>
  </sheetData>
  <mergeCells count="5">
    <mergeCell ref="A1:J1"/>
    <mergeCell ref="A2:J2"/>
    <mergeCell ref="A3:J3"/>
    <mergeCell ref="D5:F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Details</vt:lpstr>
      <vt:lpstr>Salaries</vt:lpstr>
      <vt:lpstr>Enrollment</vt:lpstr>
      <vt:lpstr>Revenue</vt:lpstr>
      <vt:lpstr>Lease</vt:lpstr>
      <vt:lpstr>Professionals</vt:lpstr>
      <vt:lpstr>Insurance</vt:lpstr>
      <vt:lpstr>YTD Rollup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Solutions</dc:creator>
  <cp:lastModifiedBy>Accounting Solutions</cp:lastModifiedBy>
  <dcterms:created xsi:type="dcterms:W3CDTF">2023-04-20T14:34:01Z</dcterms:created>
  <dcterms:modified xsi:type="dcterms:W3CDTF">2023-07-14T19:10:32Z</dcterms:modified>
</cp:coreProperties>
</file>