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deltaairlines-my.sharepoint.com/personal/irina_brimmell_delta_com/Documents/Desktop 10.18/ANCS/Mar24/"/>
    </mc:Choice>
  </mc:AlternateContent>
  <xr:revisionPtr revIDLastSave="11" documentId="11_92B58F0EC760833BE3E1422FB4EC730729654315" xr6:coauthVersionLast="47" xr6:coauthVersionMax="47" xr10:uidLastSave="{B050354F-FB54-42DD-BAD9-C998464CB785}"/>
  <bookViews>
    <workbookView xWindow="1515" yWindow="-120" windowWidth="27405" windowHeight="16440" activeTab="5" xr2:uid="{00000000-000D-0000-FFFF-FFFF00000000}"/>
  </bookViews>
  <sheets>
    <sheet name="FY24 Budget Summary" sheetId="1" r:id="rId1"/>
    <sheet name="Monthly Summary" sheetId="2" r:id="rId2"/>
    <sheet name="Exec Director" sheetId="3" r:id="rId3"/>
    <sheet name="Govern. Board" sheetId="4" r:id="rId4"/>
    <sheet name="School Services" sheetId="5" r:id="rId5"/>
    <sheet name="Central Office" sheetId="6" r:id="rId6"/>
    <sheet name="Aftercare - EC" sheetId="7" r:id="rId7"/>
    <sheet name="Middle Campus" sheetId="8" r:id="rId8"/>
    <sheet name="Aftercare - MC" sheetId="9" r:id="rId9"/>
    <sheet name="Elem Campus" sheetId="10" r:id="rId10"/>
    <sheet name="Diversity" sheetId="11" r:id="rId11"/>
    <sheet name="ESS &amp; Student Support" sheetId="12" r:id="rId12"/>
    <sheet name="Security" sheetId="13" r:id="rId13"/>
    <sheet name="Mar Comm" sheetId="14" r:id="rId14"/>
    <sheet name="Gather &amp; Grow" sheetId="15" r:id="rId15"/>
    <sheet name="Nutrition Program" sheetId="16" r:id="rId16"/>
    <sheet name="EC Facilities" sheetId="17" r:id="rId17"/>
    <sheet name=" MC Facilities" sheetId="18" r:id="rId18"/>
    <sheet name="Farm" sheetId="19" r:id="rId19"/>
    <sheet name="Information Tech" sheetId="20" r:id="rId20"/>
    <sheet name="Athletics" sheetId="21" r:id="rId21"/>
    <sheet name="MACAL" sheetId="22" r:id="rId22"/>
    <sheet name="PTCA" sheetId="23" r:id="rId23"/>
    <sheet name="Media Center - EC" sheetId="24" r:id="rId24"/>
    <sheet name="Media Center - MC" sheetId="25"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8" i="1" l="1"/>
  <c r="J28" i="1"/>
  <c r="W12" i="25" l="1"/>
  <c r="O12" i="25"/>
  <c r="M12" i="25"/>
  <c r="V10" i="25"/>
  <c r="U10" i="25"/>
  <c r="U12" i="25" s="1"/>
  <c r="T10" i="25"/>
  <c r="S10" i="25"/>
  <c r="S12" i="25" s="1"/>
  <c r="R10" i="25"/>
  <c r="Q10" i="25"/>
  <c r="Q12" i="25" s="1"/>
  <c r="P10" i="25"/>
  <c r="O10" i="25"/>
  <c r="N10" i="25"/>
  <c r="M10" i="25"/>
  <c r="L10" i="25"/>
  <c r="K10" i="25"/>
  <c r="K12" i="25" s="1"/>
  <c r="F10" i="25"/>
  <c r="G10" i="25" s="1"/>
  <c r="E10" i="25"/>
  <c r="D10" i="25"/>
  <c r="C10" i="25"/>
  <c r="X9" i="25"/>
  <c r="G9" i="25"/>
  <c r="X8" i="25"/>
  <c r="X10" i="25" s="1"/>
  <c r="X12" i="25" s="1"/>
  <c r="G8" i="25"/>
  <c r="W13" i="24"/>
  <c r="K13" i="24"/>
  <c r="X11" i="24"/>
  <c r="V11" i="24"/>
  <c r="U11" i="24"/>
  <c r="T11" i="24"/>
  <c r="S11" i="24"/>
  <c r="R11" i="24"/>
  <c r="Q11" i="24"/>
  <c r="P11" i="24"/>
  <c r="O11" i="24"/>
  <c r="N11" i="24"/>
  <c r="M11" i="24"/>
  <c r="L11" i="24"/>
  <c r="K11" i="24"/>
  <c r="G11" i="24"/>
  <c r="F11" i="24"/>
  <c r="E11" i="24"/>
  <c r="D11" i="24"/>
  <c r="C11" i="24"/>
  <c r="X10" i="24"/>
  <c r="G10" i="24"/>
  <c r="X9" i="24"/>
  <c r="G9" i="24"/>
  <c r="V6" i="24"/>
  <c r="U6" i="24"/>
  <c r="U13" i="24" s="1"/>
  <c r="T6" i="24"/>
  <c r="S6" i="24"/>
  <c r="S13" i="24" s="1"/>
  <c r="R6" i="24"/>
  <c r="Q6" i="24"/>
  <c r="Q13" i="24" s="1"/>
  <c r="P6" i="24"/>
  <c r="O6" i="24"/>
  <c r="O13" i="24" s="1"/>
  <c r="N6" i="24"/>
  <c r="M6" i="24"/>
  <c r="M13" i="24" s="1"/>
  <c r="L6" i="24"/>
  <c r="K6" i="24"/>
  <c r="G6" i="24"/>
  <c r="F6" i="24"/>
  <c r="E6" i="24"/>
  <c r="D6" i="24"/>
  <c r="X5" i="24"/>
  <c r="X6" i="24" s="1"/>
  <c r="X13" i="24" s="1"/>
  <c r="W21" i="23"/>
  <c r="P19" i="23"/>
  <c r="O19" i="23"/>
  <c r="E19" i="23"/>
  <c r="D19" i="23"/>
  <c r="X18" i="23"/>
  <c r="G18" i="23"/>
  <c r="X17" i="23"/>
  <c r="G17" i="23"/>
  <c r="X16" i="23"/>
  <c r="G16" i="23"/>
  <c r="X15" i="23"/>
  <c r="X13" i="23" s="1"/>
  <c r="G15" i="23"/>
  <c r="X14" i="23"/>
  <c r="G14" i="23"/>
  <c r="V13" i="23"/>
  <c r="U13" i="23"/>
  <c r="T13" i="23"/>
  <c r="S13" i="23"/>
  <c r="R13" i="23"/>
  <c r="Q13" i="23"/>
  <c r="P13" i="23"/>
  <c r="O13" i="23"/>
  <c r="N13" i="23"/>
  <c r="M13" i="23"/>
  <c r="L13" i="23"/>
  <c r="K13" i="23"/>
  <c r="F13" i="23"/>
  <c r="E13" i="23"/>
  <c r="D13" i="23"/>
  <c r="C13" i="23"/>
  <c r="G13" i="23" s="1"/>
  <c r="X12" i="23"/>
  <c r="G12" i="23"/>
  <c r="X11" i="23"/>
  <c r="X9" i="23" s="1"/>
  <c r="X19" i="23" s="1"/>
  <c r="G11" i="23"/>
  <c r="X10" i="23"/>
  <c r="G10" i="23"/>
  <c r="V9" i="23"/>
  <c r="V19" i="23" s="1"/>
  <c r="U9" i="23"/>
  <c r="U19" i="23" s="1"/>
  <c r="T9" i="23"/>
  <c r="S9" i="23"/>
  <c r="S19" i="23" s="1"/>
  <c r="R9" i="23"/>
  <c r="R19" i="23" s="1"/>
  <c r="Q9" i="23"/>
  <c r="Q19" i="23" s="1"/>
  <c r="P9" i="23"/>
  <c r="O9" i="23"/>
  <c r="N9" i="23"/>
  <c r="N19" i="23" s="1"/>
  <c r="M9" i="23"/>
  <c r="M19" i="23" s="1"/>
  <c r="L9" i="23"/>
  <c r="K9" i="23"/>
  <c r="K19" i="23" s="1"/>
  <c r="K21" i="23" s="1"/>
  <c r="F9" i="23"/>
  <c r="F19" i="23" s="1"/>
  <c r="G19" i="23" s="1"/>
  <c r="E9" i="23"/>
  <c r="D9" i="23"/>
  <c r="C9" i="23"/>
  <c r="C19" i="23" s="1"/>
  <c r="V6" i="23"/>
  <c r="U6" i="23"/>
  <c r="U21" i="23" s="1"/>
  <c r="T6" i="23"/>
  <c r="P6" i="23"/>
  <c r="O6" i="23"/>
  <c r="O21" i="23" s="1"/>
  <c r="N6" i="23"/>
  <c r="M6" i="23"/>
  <c r="M21" i="23" s="1"/>
  <c r="L6" i="23"/>
  <c r="K6" i="23"/>
  <c r="E6" i="23"/>
  <c r="D6" i="23"/>
  <c r="C6" i="23"/>
  <c r="X5" i="23"/>
  <c r="X6" i="23" s="1"/>
  <c r="S5" i="23"/>
  <c r="S6" i="23" s="1"/>
  <c r="R5" i="23"/>
  <c r="R6" i="23" s="1"/>
  <c r="Q5" i="23"/>
  <c r="Q6" i="23" s="1"/>
  <c r="F5" i="23"/>
  <c r="F6" i="23" s="1"/>
  <c r="W14" i="22"/>
  <c r="Q14" i="22"/>
  <c r="V12" i="22"/>
  <c r="U12" i="22"/>
  <c r="T12" i="22"/>
  <c r="S12" i="22"/>
  <c r="R12" i="22"/>
  <c r="Q12" i="22"/>
  <c r="P12" i="22"/>
  <c r="O12" i="22"/>
  <c r="N12" i="22"/>
  <c r="M12" i="22"/>
  <c r="L12" i="22"/>
  <c r="K12" i="22"/>
  <c r="F12" i="22"/>
  <c r="E12" i="22"/>
  <c r="D12" i="22"/>
  <c r="C12" i="22"/>
  <c r="X11" i="22"/>
  <c r="G11" i="22"/>
  <c r="X10" i="22"/>
  <c r="G10" i="22"/>
  <c r="X9" i="22"/>
  <c r="G9" i="22"/>
  <c r="V6" i="22"/>
  <c r="U6" i="22"/>
  <c r="U14" i="22" s="1"/>
  <c r="T6" i="22"/>
  <c r="S6" i="22"/>
  <c r="S14" i="22" s="1"/>
  <c r="R6" i="22"/>
  <c r="Q6" i="22"/>
  <c r="P6" i="22"/>
  <c r="O6" i="22"/>
  <c r="O14" i="22" s="1"/>
  <c r="N6" i="22"/>
  <c r="M6" i="22"/>
  <c r="M14" i="22" s="1"/>
  <c r="L6" i="22"/>
  <c r="K6" i="22"/>
  <c r="K14" i="22" s="1"/>
  <c r="F6" i="22"/>
  <c r="E6" i="22"/>
  <c r="D6" i="22"/>
  <c r="C6" i="22"/>
  <c r="X5" i="22"/>
  <c r="X6" i="22" s="1"/>
  <c r="G5" i="22"/>
  <c r="W13" i="21"/>
  <c r="O13" i="21"/>
  <c r="M13" i="21"/>
  <c r="V11" i="21"/>
  <c r="T11" i="21"/>
  <c r="R11" i="21"/>
  <c r="Q11" i="21"/>
  <c r="P11" i="21"/>
  <c r="O11" i="21"/>
  <c r="M11" i="21"/>
  <c r="L11" i="21"/>
  <c r="K11" i="21"/>
  <c r="G11" i="21"/>
  <c r="F11" i="21"/>
  <c r="E11" i="21"/>
  <c r="D11" i="21"/>
  <c r="C11" i="21"/>
  <c r="X10" i="21"/>
  <c r="G10" i="21"/>
  <c r="F10" i="21"/>
  <c r="X9" i="21"/>
  <c r="X11" i="21" s="1"/>
  <c r="U9" i="21"/>
  <c r="U11" i="21" s="1"/>
  <c r="S9" i="21"/>
  <c r="S11" i="21" s="1"/>
  <c r="N9" i="21"/>
  <c r="N11" i="21" s="1"/>
  <c r="G9" i="21"/>
  <c r="V6" i="21"/>
  <c r="U6" i="21"/>
  <c r="T6" i="21"/>
  <c r="S6" i="21"/>
  <c r="S13" i="21" s="1"/>
  <c r="R6" i="21"/>
  <c r="Q6" i="21"/>
  <c r="Q13" i="21" s="1"/>
  <c r="P6" i="21"/>
  <c r="O6" i="21"/>
  <c r="N6" i="21"/>
  <c r="M6" i="21"/>
  <c r="L6" i="21"/>
  <c r="K6" i="21"/>
  <c r="K13" i="21" s="1"/>
  <c r="F6" i="21"/>
  <c r="G6" i="21" s="1"/>
  <c r="E6" i="21"/>
  <c r="D6" i="21"/>
  <c r="C6" i="21"/>
  <c r="X5" i="21"/>
  <c r="X6" i="21" s="1"/>
  <c r="G5" i="21"/>
  <c r="W16" i="20"/>
  <c r="P14" i="20"/>
  <c r="O14" i="20"/>
  <c r="O16" i="20" s="1"/>
  <c r="E14" i="20"/>
  <c r="D14" i="20"/>
  <c r="X13" i="20"/>
  <c r="G13" i="20"/>
  <c r="V12" i="20"/>
  <c r="V11" i="20" s="1"/>
  <c r="U12" i="20"/>
  <c r="T12" i="20"/>
  <c r="S12" i="20"/>
  <c r="R12" i="20"/>
  <c r="Q12" i="20"/>
  <c r="P12" i="20"/>
  <c r="O12" i="20"/>
  <c r="N12" i="20"/>
  <c r="M12" i="20"/>
  <c r="L12" i="20"/>
  <c r="K12" i="20"/>
  <c r="G12" i="20"/>
  <c r="U11" i="20"/>
  <c r="R11" i="20"/>
  <c r="Q11" i="20"/>
  <c r="P11" i="20"/>
  <c r="O11" i="20"/>
  <c r="N11" i="20"/>
  <c r="M11" i="20"/>
  <c r="G11" i="20"/>
  <c r="F11" i="20"/>
  <c r="F14" i="20" s="1"/>
  <c r="E11" i="20"/>
  <c r="D11" i="20"/>
  <c r="C11" i="20"/>
  <c r="C14" i="20" s="1"/>
  <c r="V10" i="20"/>
  <c r="U10" i="20"/>
  <c r="T10" i="20"/>
  <c r="R170" i="2" s="1"/>
  <c r="S10" i="20"/>
  <c r="R10" i="20"/>
  <c r="Q10" i="20"/>
  <c r="P10" i="20"/>
  <c r="O10" i="20"/>
  <c r="N10" i="20"/>
  <c r="M10" i="20"/>
  <c r="L10" i="20"/>
  <c r="J170" i="2" s="1"/>
  <c r="K10" i="20"/>
  <c r="G10" i="20"/>
  <c r="V9" i="20"/>
  <c r="U9" i="20"/>
  <c r="T9" i="20"/>
  <c r="S9" i="20"/>
  <c r="R9" i="20"/>
  <c r="P169" i="2" s="1"/>
  <c r="Q9" i="20"/>
  <c r="O169" i="2" s="1"/>
  <c r="O168" i="2" s="1"/>
  <c r="P9" i="20"/>
  <c r="O9" i="20"/>
  <c r="N9" i="20"/>
  <c r="M9" i="20"/>
  <c r="L9" i="20"/>
  <c r="K9" i="20"/>
  <c r="G9" i="20"/>
  <c r="U8" i="20"/>
  <c r="U14" i="20" s="1"/>
  <c r="U16" i="20" s="1"/>
  <c r="T8" i="20"/>
  <c r="S8" i="20"/>
  <c r="R8" i="20"/>
  <c r="Q8" i="20"/>
  <c r="P8" i="20"/>
  <c r="O8" i="20"/>
  <c r="N8" i="20"/>
  <c r="N14" i="20" s="1"/>
  <c r="M8" i="20"/>
  <c r="M14" i="20" s="1"/>
  <c r="M16" i="20" s="1"/>
  <c r="L8" i="20"/>
  <c r="K8" i="20"/>
  <c r="G8" i="20"/>
  <c r="W14" i="19"/>
  <c r="S14" i="19"/>
  <c r="U12" i="19"/>
  <c r="U14" i="19" s="1"/>
  <c r="T12" i="19"/>
  <c r="O12" i="19"/>
  <c r="O14" i="19" s="1"/>
  <c r="M12" i="19"/>
  <c r="M14" i="19" s="1"/>
  <c r="L12" i="19"/>
  <c r="F12" i="19"/>
  <c r="E12" i="19"/>
  <c r="D12" i="19"/>
  <c r="X11" i="19"/>
  <c r="G11" i="19"/>
  <c r="V10" i="19"/>
  <c r="V12" i="19" s="1"/>
  <c r="U10" i="19"/>
  <c r="T10" i="19"/>
  <c r="S10" i="19"/>
  <c r="S12" i="19" s="1"/>
  <c r="R10" i="19"/>
  <c r="R12" i="19" s="1"/>
  <c r="Q10" i="19"/>
  <c r="Q12" i="19" s="1"/>
  <c r="Q14" i="19" s="1"/>
  <c r="P10" i="19"/>
  <c r="P12" i="19" s="1"/>
  <c r="O10" i="19"/>
  <c r="N10" i="19"/>
  <c r="N12" i="19" s="1"/>
  <c r="M10" i="19"/>
  <c r="L10" i="19"/>
  <c r="K10" i="19"/>
  <c r="K12" i="19" s="1"/>
  <c r="K14" i="19" s="1"/>
  <c r="G10" i="19"/>
  <c r="X9" i="19"/>
  <c r="G9" i="19"/>
  <c r="C9" i="19"/>
  <c r="C12" i="19" s="1"/>
  <c r="W23" i="18"/>
  <c r="R21" i="18"/>
  <c r="G21" i="18"/>
  <c r="F21" i="18"/>
  <c r="X20" i="18"/>
  <c r="G20" i="18"/>
  <c r="X19" i="18"/>
  <c r="G19" i="18"/>
  <c r="T18" i="18"/>
  <c r="F18" i="18"/>
  <c r="Q18" i="18" s="1"/>
  <c r="Q11" i="18" s="1"/>
  <c r="Q21" i="18" s="1"/>
  <c r="Q23" i="18" s="1"/>
  <c r="E18" i="18"/>
  <c r="E11" i="18" s="1"/>
  <c r="E21" i="18" s="1"/>
  <c r="X17" i="18"/>
  <c r="G17" i="18"/>
  <c r="X16" i="18"/>
  <c r="G16" i="18"/>
  <c r="X15" i="18"/>
  <c r="G15" i="18"/>
  <c r="X14" i="18"/>
  <c r="G14" i="18"/>
  <c r="X13" i="18"/>
  <c r="G13" i="18"/>
  <c r="X12" i="18"/>
  <c r="G12" i="18"/>
  <c r="V11" i="18"/>
  <c r="V21" i="18" s="1"/>
  <c r="U11" i="18"/>
  <c r="U21" i="18" s="1"/>
  <c r="U23" i="18" s="1"/>
  <c r="T11" i="18"/>
  <c r="T21" i="18" s="1"/>
  <c r="S11" i="18"/>
  <c r="S21" i="18" s="1"/>
  <c r="S23" i="18" s="1"/>
  <c r="R11" i="18"/>
  <c r="P11" i="18"/>
  <c r="P21" i="18" s="1"/>
  <c r="O11" i="18"/>
  <c r="O21" i="18" s="1"/>
  <c r="O23" i="18" s="1"/>
  <c r="M11" i="18"/>
  <c r="M21" i="18" s="1"/>
  <c r="M23" i="18" s="1"/>
  <c r="L11" i="18"/>
  <c r="L21" i="18" s="1"/>
  <c r="G11" i="18"/>
  <c r="F11" i="18"/>
  <c r="D11" i="18"/>
  <c r="D21" i="18" s="1"/>
  <c r="C11" i="18"/>
  <c r="X10" i="18"/>
  <c r="G10" i="18"/>
  <c r="C10" i="18"/>
  <c r="C21" i="18" s="1"/>
  <c r="X9" i="18"/>
  <c r="G9" i="18"/>
  <c r="L52" i="17"/>
  <c r="W38" i="17"/>
  <c r="X35" i="17"/>
  <c r="G35" i="17"/>
  <c r="X34" i="17"/>
  <c r="G34" i="17"/>
  <c r="V33" i="17"/>
  <c r="U33" i="17"/>
  <c r="T33" i="17"/>
  <c r="S33" i="17"/>
  <c r="R33" i="17"/>
  <c r="Q33" i="17"/>
  <c r="P33" i="17"/>
  <c r="O33" i="17"/>
  <c r="N33" i="17"/>
  <c r="M33" i="17"/>
  <c r="L33" i="17"/>
  <c r="K33" i="17"/>
  <c r="X33" i="17" s="1"/>
  <c r="G33" i="17"/>
  <c r="F33" i="17"/>
  <c r="F23" i="17" s="1"/>
  <c r="X32" i="17"/>
  <c r="G32" i="17"/>
  <c r="X31" i="17"/>
  <c r="G31" i="17"/>
  <c r="X30" i="17"/>
  <c r="C30" i="17"/>
  <c r="G30" i="17" s="1"/>
  <c r="X29" i="17"/>
  <c r="F29" i="17"/>
  <c r="C29" i="17"/>
  <c r="G29" i="17" s="1"/>
  <c r="V28" i="17"/>
  <c r="U28" i="17"/>
  <c r="T28" i="17"/>
  <c r="T23" i="17" s="1"/>
  <c r="S28" i="17"/>
  <c r="S23" i="17" s="1"/>
  <c r="R28" i="17"/>
  <c r="Q28" i="17"/>
  <c r="P28" i="17"/>
  <c r="O28" i="17"/>
  <c r="N28" i="17"/>
  <c r="M28" i="17"/>
  <c r="L28" i="17"/>
  <c r="L23" i="17" s="1"/>
  <c r="K28" i="17"/>
  <c r="G28" i="17"/>
  <c r="V27" i="17"/>
  <c r="U27" i="17"/>
  <c r="T27" i="17"/>
  <c r="S27" i="17"/>
  <c r="R27" i="17"/>
  <c r="Q27" i="17"/>
  <c r="Q23" i="17" s="1"/>
  <c r="P27" i="17"/>
  <c r="O27" i="17"/>
  <c r="N27" i="17"/>
  <c r="M27" i="17"/>
  <c r="L27" i="17"/>
  <c r="K27" i="17"/>
  <c r="G27" i="17"/>
  <c r="X26" i="17"/>
  <c r="G26" i="17"/>
  <c r="C26" i="17"/>
  <c r="X25" i="17"/>
  <c r="G25" i="17"/>
  <c r="X24" i="17"/>
  <c r="C24" i="17"/>
  <c r="V23" i="17"/>
  <c r="U23" i="17"/>
  <c r="P23" i="17"/>
  <c r="O23" i="17"/>
  <c r="N23" i="17"/>
  <c r="M23" i="17"/>
  <c r="E23" i="17"/>
  <c r="D23" i="17"/>
  <c r="X22" i="17"/>
  <c r="F22" i="17"/>
  <c r="G22" i="17" s="1"/>
  <c r="V21" i="17"/>
  <c r="U21" i="17"/>
  <c r="T21" i="17"/>
  <c r="S21" i="17"/>
  <c r="R21" i="17"/>
  <c r="Q21" i="17"/>
  <c r="P21" i="17"/>
  <c r="O21" i="17"/>
  <c r="N21" i="17"/>
  <c r="M21" i="17"/>
  <c r="L21" i="17"/>
  <c r="K21" i="17"/>
  <c r="G21" i="17"/>
  <c r="X20" i="17"/>
  <c r="G20" i="17"/>
  <c r="X19" i="17"/>
  <c r="G19" i="17"/>
  <c r="X18" i="17"/>
  <c r="X15" i="17" s="1"/>
  <c r="G18" i="17"/>
  <c r="X17" i="17"/>
  <c r="G17" i="17"/>
  <c r="X16" i="17"/>
  <c r="G16" i="17"/>
  <c r="V15" i="17"/>
  <c r="U15" i="17"/>
  <c r="T15" i="17"/>
  <c r="T36" i="17" s="1"/>
  <c r="S15" i="17"/>
  <c r="R15" i="17"/>
  <c r="Q15" i="17"/>
  <c r="P15" i="17"/>
  <c r="O15" i="17"/>
  <c r="N15" i="17"/>
  <c r="M15" i="17"/>
  <c r="L15" i="17"/>
  <c r="K15" i="17"/>
  <c r="F15" i="17"/>
  <c r="E15" i="17"/>
  <c r="E36" i="17" s="1"/>
  <c r="D15" i="17"/>
  <c r="D36" i="17" s="1"/>
  <c r="C15" i="17"/>
  <c r="V14" i="17"/>
  <c r="O14" i="17"/>
  <c r="N14" i="17"/>
  <c r="F14" i="17"/>
  <c r="T14" i="17" s="1"/>
  <c r="V13" i="17"/>
  <c r="U13" i="17"/>
  <c r="T13" i="17"/>
  <c r="S13" i="17"/>
  <c r="R13" i="17"/>
  <c r="Q13" i="17"/>
  <c r="P13" i="17"/>
  <c r="O13" i="17"/>
  <c r="N13" i="17"/>
  <c r="M13" i="17"/>
  <c r="L13" i="17"/>
  <c r="K13" i="17"/>
  <c r="G13" i="17"/>
  <c r="U12" i="17"/>
  <c r="S12" i="17"/>
  <c r="Q12" i="17"/>
  <c r="O12" i="17"/>
  <c r="M12" i="17"/>
  <c r="K12" i="17"/>
  <c r="X12" i="17" s="1"/>
  <c r="G12" i="17"/>
  <c r="V11" i="17"/>
  <c r="U11" i="17"/>
  <c r="T11" i="17"/>
  <c r="S11" i="17"/>
  <c r="N11" i="17"/>
  <c r="M11" i="17"/>
  <c r="L11" i="17"/>
  <c r="K11" i="17"/>
  <c r="G11" i="17"/>
  <c r="F11" i="17"/>
  <c r="Q11" i="17" s="1"/>
  <c r="X10" i="17"/>
  <c r="G10" i="17"/>
  <c r="L6" i="17"/>
  <c r="M27" i="16"/>
  <c r="S25" i="16"/>
  <c r="R25" i="16"/>
  <c r="K25" i="16"/>
  <c r="D25" i="16"/>
  <c r="C25" i="16"/>
  <c r="G24" i="16"/>
  <c r="G23" i="16"/>
  <c r="X22" i="16"/>
  <c r="U22" i="16"/>
  <c r="S22" i="16"/>
  <c r="Q22" i="16"/>
  <c r="O22" i="16"/>
  <c r="M22" i="16"/>
  <c r="K22" i="16"/>
  <c r="C22" i="16"/>
  <c r="G22" i="16" s="1"/>
  <c r="G21" i="16"/>
  <c r="G20" i="16"/>
  <c r="G19" i="16"/>
  <c r="X18" i="16"/>
  <c r="U18" i="16"/>
  <c r="S18" i="16"/>
  <c r="Q18" i="16"/>
  <c r="O18" i="16"/>
  <c r="M18" i="16"/>
  <c r="K18" i="16"/>
  <c r="G18" i="16"/>
  <c r="X17" i="16"/>
  <c r="U17" i="16"/>
  <c r="S17" i="16"/>
  <c r="Q17" i="16"/>
  <c r="O17" i="16"/>
  <c r="M17" i="16"/>
  <c r="K17" i="16"/>
  <c r="C17" i="16"/>
  <c r="G17" i="16" s="1"/>
  <c r="X16" i="16"/>
  <c r="G16" i="16"/>
  <c r="X15" i="16"/>
  <c r="G15" i="16"/>
  <c r="X14" i="16"/>
  <c r="G14" i="16"/>
  <c r="X13" i="16"/>
  <c r="G13" i="16"/>
  <c r="X12" i="16"/>
  <c r="G12" i="16"/>
  <c r="V11" i="16"/>
  <c r="V25" i="16" s="1"/>
  <c r="U11" i="16"/>
  <c r="U25" i="16" s="1"/>
  <c r="T11" i="16"/>
  <c r="T25" i="16" s="1"/>
  <c r="S11" i="16"/>
  <c r="R11" i="16"/>
  <c r="Q11" i="16"/>
  <c r="Q25" i="16" s="1"/>
  <c r="P11" i="16"/>
  <c r="P25" i="16" s="1"/>
  <c r="O11" i="16"/>
  <c r="O25" i="16" s="1"/>
  <c r="N11" i="16"/>
  <c r="N25" i="16" s="1"/>
  <c r="M11" i="16"/>
  <c r="M25" i="16" s="1"/>
  <c r="L11" i="16"/>
  <c r="L25" i="16" s="1"/>
  <c r="K11" i="16"/>
  <c r="G11" i="16"/>
  <c r="F11" i="16"/>
  <c r="F25" i="16" s="1"/>
  <c r="G25" i="16" s="1"/>
  <c r="E11" i="16"/>
  <c r="E25" i="16" s="1"/>
  <c r="V8" i="16"/>
  <c r="V27" i="16" s="1"/>
  <c r="U8" i="16"/>
  <c r="U27" i="16" s="1"/>
  <c r="T8" i="16"/>
  <c r="S8" i="16"/>
  <c r="R8" i="16"/>
  <c r="R27" i="16" s="1"/>
  <c r="Q8" i="16"/>
  <c r="Q27" i="16" s="1"/>
  <c r="P8" i="16"/>
  <c r="P27" i="16" s="1"/>
  <c r="O8" i="16"/>
  <c r="N8" i="16"/>
  <c r="N27" i="16" s="1"/>
  <c r="M8" i="16"/>
  <c r="L8" i="16"/>
  <c r="K8" i="16"/>
  <c r="K27" i="16" s="1"/>
  <c r="F8" i="16"/>
  <c r="E8" i="16"/>
  <c r="D8" i="16"/>
  <c r="C8" i="16"/>
  <c r="X7" i="16"/>
  <c r="G7" i="16"/>
  <c r="X6" i="16"/>
  <c r="G6" i="16"/>
  <c r="G8" i="16" s="1"/>
  <c r="X5" i="16"/>
  <c r="X8" i="16" s="1"/>
  <c r="G5" i="16"/>
  <c r="W18" i="15"/>
  <c r="V16" i="15"/>
  <c r="O16" i="15"/>
  <c r="N16" i="15"/>
  <c r="F16" i="15"/>
  <c r="G16" i="15" s="1"/>
  <c r="E16" i="15"/>
  <c r="D16" i="15"/>
  <c r="C16" i="15"/>
  <c r="X15" i="15"/>
  <c r="G15" i="15"/>
  <c r="X14" i="15"/>
  <c r="G14" i="15"/>
  <c r="X13" i="15"/>
  <c r="G13" i="15"/>
  <c r="X12" i="15"/>
  <c r="X11" i="15" s="1"/>
  <c r="X16" i="15" s="1"/>
  <c r="G12" i="15"/>
  <c r="V11" i="15"/>
  <c r="U11" i="15"/>
  <c r="U16" i="15" s="1"/>
  <c r="T11" i="15"/>
  <c r="T16" i="15" s="1"/>
  <c r="S11" i="15"/>
  <c r="S16" i="15" s="1"/>
  <c r="R11" i="15"/>
  <c r="R16" i="15" s="1"/>
  <c r="Q11" i="15"/>
  <c r="Q16" i="15" s="1"/>
  <c r="P11" i="15"/>
  <c r="P16" i="15" s="1"/>
  <c r="O11" i="15"/>
  <c r="N11" i="15"/>
  <c r="M11" i="15"/>
  <c r="M16" i="15" s="1"/>
  <c r="L11" i="15"/>
  <c r="L16" i="15" s="1"/>
  <c r="K11" i="15"/>
  <c r="K16" i="15" s="1"/>
  <c r="F11" i="15"/>
  <c r="E11" i="15"/>
  <c r="D11" i="15"/>
  <c r="C11" i="15"/>
  <c r="S8" i="15"/>
  <c r="R8" i="15"/>
  <c r="K8" i="15"/>
  <c r="F8" i="15"/>
  <c r="E8" i="15"/>
  <c r="D8" i="15"/>
  <c r="X7" i="15"/>
  <c r="G7" i="15"/>
  <c r="X6" i="15"/>
  <c r="X5" i="15" s="1"/>
  <c r="X8" i="15" s="1"/>
  <c r="G6" i="15"/>
  <c r="C6" i="15"/>
  <c r="C8" i="15" s="1"/>
  <c r="G8" i="15" s="1"/>
  <c r="V5" i="15"/>
  <c r="V8" i="15" s="1"/>
  <c r="U5" i="15"/>
  <c r="U8" i="15" s="1"/>
  <c r="U18" i="15" s="1"/>
  <c r="T5" i="15"/>
  <c r="T8" i="15" s="1"/>
  <c r="S5" i="15"/>
  <c r="R5" i="15"/>
  <c r="Q5" i="15"/>
  <c r="Q8" i="15" s="1"/>
  <c r="Q18" i="15" s="1"/>
  <c r="P5" i="15"/>
  <c r="P8" i="15" s="1"/>
  <c r="O5" i="15"/>
  <c r="O8" i="15" s="1"/>
  <c r="O18" i="15" s="1"/>
  <c r="N5" i="15"/>
  <c r="N8" i="15" s="1"/>
  <c r="M5" i="15"/>
  <c r="M8" i="15" s="1"/>
  <c r="L5" i="15"/>
  <c r="L8" i="15" s="1"/>
  <c r="K5" i="15"/>
  <c r="F5" i="15"/>
  <c r="G5" i="15" s="1"/>
  <c r="E5" i="15"/>
  <c r="D5" i="15"/>
  <c r="C5" i="15"/>
  <c r="W20" i="14"/>
  <c r="S18" i="14"/>
  <c r="K18" i="14"/>
  <c r="X17" i="14"/>
  <c r="G17" i="14"/>
  <c r="X16" i="14"/>
  <c r="G16" i="14"/>
  <c r="X15" i="14"/>
  <c r="G15" i="14"/>
  <c r="V14" i="14"/>
  <c r="V18" i="14" s="1"/>
  <c r="U14" i="14"/>
  <c r="T14" i="14"/>
  <c r="S14" i="14"/>
  <c r="R14" i="14"/>
  <c r="Q14" i="14"/>
  <c r="P14" i="14"/>
  <c r="O14" i="14"/>
  <c r="N14" i="14"/>
  <c r="M14" i="14"/>
  <c r="L14" i="14"/>
  <c r="K14" i="14"/>
  <c r="F14" i="14"/>
  <c r="F18" i="14" s="1"/>
  <c r="E14" i="14"/>
  <c r="E18" i="14" s="1"/>
  <c r="D14" i="14"/>
  <c r="D18" i="14" s="1"/>
  <c r="C14" i="14"/>
  <c r="C18" i="14" s="1"/>
  <c r="U13" i="14"/>
  <c r="T13" i="14"/>
  <c r="S13" i="14"/>
  <c r="R13" i="14"/>
  <c r="R18" i="14" s="1"/>
  <c r="Q13" i="14"/>
  <c r="Q18" i="14" s="1"/>
  <c r="P13" i="14"/>
  <c r="P18" i="14" s="1"/>
  <c r="O13" i="14"/>
  <c r="O18" i="14" s="1"/>
  <c r="N13" i="14"/>
  <c r="N18" i="14" s="1"/>
  <c r="M13" i="14"/>
  <c r="L13" i="14"/>
  <c r="G13" i="14"/>
  <c r="X12" i="14"/>
  <c r="G12" i="14"/>
  <c r="V11" i="14"/>
  <c r="S11" i="14"/>
  <c r="R11" i="14"/>
  <c r="P11" i="14"/>
  <c r="N11" i="14"/>
  <c r="K11" i="14"/>
  <c r="F11" i="14"/>
  <c r="E11" i="14"/>
  <c r="D11" i="14"/>
  <c r="C11" i="14"/>
  <c r="G11" i="14" s="1"/>
  <c r="V8" i="14"/>
  <c r="U8" i="14"/>
  <c r="P8" i="14"/>
  <c r="M8" i="14"/>
  <c r="L8" i="14"/>
  <c r="K8" i="14"/>
  <c r="F8" i="14"/>
  <c r="E8" i="14"/>
  <c r="D8" i="14"/>
  <c r="C8" i="14"/>
  <c r="G8" i="14" s="1"/>
  <c r="U7" i="14"/>
  <c r="T7" i="14"/>
  <c r="S7" i="14"/>
  <c r="R7" i="14"/>
  <c r="Q7" i="14"/>
  <c r="Q8" i="14" s="1"/>
  <c r="Q20" i="14" s="1"/>
  <c r="P7" i="14"/>
  <c r="O7" i="14"/>
  <c r="O8" i="14" s="1"/>
  <c r="O20" i="14" s="1"/>
  <c r="N7" i="14"/>
  <c r="N8" i="14" s="1"/>
  <c r="M7" i="14"/>
  <c r="L7" i="14"/>
  <c r="G7" i="14"/>
  <c r="X6" i="14"/>
  <c r="G6" i="14"/>
  <c r="U5" i="14"/>
  <c r="T5" i="14"/>
  <c r="T8" i="14" s="1"/>
  <c r="S5" i="14"/>
  <c r="S8" i="14" s="1"/>
  <c r="S20" i="14" s="1"/>
  <c r="R5" i="14"/>
  <c r="R8" i="14" s="1"/>
  <c r="G5" i="14"/>
  <c r="V13" i="13"/>
  <c r="U13" i="13"/>
  <c r="T13" i="13"/>
  <c r="S13" i="13"/>
  <c r="R13" i="13"/>
  <c r="Q13" i="13"/>
  <c r="P13" i="13"/>
  <c r="O13" i="13"/>
  <c r="N13" i="13"/>
  <c r="M13" i="13"/>
  <c r="L13" i="13"/>
  <c r="K13" i="13"/>
  <c r="E13" i="13"/>
  <c r="D13" i="13"/>
  <c r="C13" i="13"/>
  <c r="G12" i="13"/>
  <c r="G11" i="13"/>
  <c r="X10" i="13"/>
  <c r="F10" i="13"/>
  <c r="F13" i="13" s="1"/>
  <c r="G13" i="13" s="1"/>
  <c r="X9" i="13"/>
  <c r="X13" i="13" s="1"/>
  <c r="G9" i="13"/>
  <c r="Q6" i="13"/>
  <c r="M6" i="13"/>
  <c r="L6" i="13"/>
  <c r="K6" i="13"/>
  <c r="C6" i="13"/>
  <c r="X5" i="13"/>
  <c r="X6" i="13" s="1"/>
  <c r="U5" i="13"/>
  <c r="U6" i="13" s="1"/>
  <c r="S5" i="13"/>
  <c r="S6" i="13" s="1"/>
  <c r="Q5" i="13"/>
  <c r="O5" i="13"/>
  <c r="O6" i="13" s="1"/>
  <c r="M5" i="13"/>
  <c r="W22" i="12"/>
  <c r="S22" i="12"/>
  <c r="Q22" i="12"/>
  <c r="T20" i="12"/>
  <c r="S20" i="12"/>
  <c r="X19" i="12"/>
  <c r="G19" i="12"/>
  <c r="X18" i="12"/>
  <c r="Q18" i="12"/>
  <c r="L18" i="12"/>
  <c r="F18" i="12"/>
  <c r="E18" i="12"/>
  <c r="D18" i="12"/>
  <c r="C18" i="12"/>
  <c r="G18" i="12" s="1"/>
  <c r="X17" i="12"/>
  <c r="G17" i="12"/>
  <c r="X16" i="12"/>
  <c r="G16" i="12"/>
  <c r="X15" i="12"/>
  <c r="G15" i="12"/>
  <c r="V14" i="12"/>
  <c r="U14" i="12"/>
  <c r="T14" i="12"/>
  <c r="S14" i="12"/>
  <c r="R14" i="12"/>
  <c r="Q14" i="12"/>
  <c r="P14" i="12"/>
  <c r="O14" i="12"/>
  <c r="N14" i="12"/>
  <c r="M14" i="12"/>
  <c r="L14" i="12"/>
  <c r="K14" i="12"/>
  <c r="G14" i="12"/>
  <c r="F14" i="12"/>
  <c r="E14" i="12"/>
  <c r="D14" i="12"/>
  <c r="X13" i="12"/>
  <c r="G13" i="12"/>
  <c r="C13" i="12"/>
  <c r="X12" i="12"/>
  <c r="X11" i="12" s="1"/>
  <c r="G12" i="12"/>
  <c r="V11" i="12"/>
  <c r="V20" i="12" s="1"/>
  <c r="U11" i="12"/>
  <c r="T11" i="12"/>
  <c r="S11" i="12"/>
  <c r="R11" i="12"/>
  <c r="R20" i="12" s="1"/>
  <c r="Q11" i="12"/>
  <c r="Q20" i="12" s="1"/>
  <c r="P11" i="12"/>
  <c r="P20" i="12" s="1"/>
  <c r="O11" i="12"/>
  <c r="O20" i="12" s="1"/>
  <c r="O22" i="12" s="1"/>
  <c r="N11" i="12"/>
  <c r="N20" i="12" s="1"/>
  <c r="M11" i="12"/>
  <c r="L11" i="12"/>
  <c r="L20" i="12" s="1"/>
  <c r="K11" i="12"/>
  <c r="K20" i="12" s="1"/>
  <c r="K22" i="12" s="1"/>
  <c r="F11" i="12"/>
  <c r="E11" i="12"/>
  <c r="D11" i="12"/>
  <c r="C11" i="12"/>
  <c r="G11" i="12" s="1"/>
  <c r="X10" i="12"/>
  <c r="G10" i="12"/>
  <c r="X9" i="12"/>
  <c r="X8" i="12" s="1"/>
  <c r="G9" i="12"/>
  <c r="V8" i="12"/>
  <c r="U8" i="12"/>
  <c r="T8" i="12"/>
  <c r="S8" i="12"/>
  <c r="R8" i="12"/>
  <c r="Q8" i="12"/>
  <c r="P8" i="12"/>
  <c r="O8" i="12"/>
  <c r="N8" i="12"/>
  <c r="M8" i="12"/>
  <c r="L8" i="12"/>
  <c r="K8" i="12"/>
  <c r="F8" i="12"/>
  <c r="F20" i="12" s="1"/>
  <c r="E8" i="12"/>
  <c r="E20" i="12" s="1"/>
  <c r="D8" i="12"/>
  <c r="D20" i="12" s="1"/>
  <c r="C8" i="12"/>
  <c r="C20" i="12" s="1"/>
  <c r="X5" i="12"/>
  <c r="V15" i="11"/>
  <c r="U15" i="11"/>
  <c r="T15" i="11"/>
  <c r="S15" i="11"/>
  <c r="R15" i="11"/>
  <c r="P15" i="11"/>
  <c r="O15" i="11"/>
  <c r="N15" i="11"/>
  <c r="M15" i="11"/>
  <c r="L15" i="11"/>
  <c r="K15" i="11"/>
  <c r="E15" i="11"/>
  <c r="D15" i="11"/>
  <c r="C15" i="11"/>
  <c r="X14" i="11"/>
  <c r="G14" i="11"/>
  <c r="X13" i="11"/>
  <c r="G13" i="11"/>
  <c r="X12" i="11"/>
  <c r="G12" i="11"/>
  <c r="Q11" i="11"/>
  <c r="L11" i="11"/>
  <c r="X11" i="11" s="1"/>
  <c r="G11" i="11"/>
  <c r="F11" i="11"/>
  <c r="Q10" i="11"/>
  <c r="Q15" i="11" s="1"/>
  <c r="L10" i="11"/>
  <c r="X10" i="11" s="1"/>
  <c r="F10" i="11"/>
  <c r="G10" i="11" s="1"/>
  <c r="X9" i="11"/>
  <c r="G9" i="11"/>
  <c r="F9" i="11"/>
  <c r="F15" i="11" s="1"/>
  <c r="G15" i="11" s="1"/>
  <c r="U6" i="11"/>
  <c r="S6" i="11"/>
  <c r="Q6" i="11"/>
  <c r="O6" i="11"/>
  <c r="N6" i="11"/>
  <c r="M6" i="11"/>
  <c r="L6" i="11"/>
  <c r="K6" i="11"/>
  <c r="F6" i="11"/>
  <c r="G6" i="11" s="1"/>
  <c r="D6" i="11"/>
  <c r="C6" i="11"/>
  <c r="X5" i="11"/>
  <c r="X6" i="11" s="1"/>
  <c r="G5" i="11"/>
  <c r="C38" i="10"/>
  <c r="X37" i="10"/>
  <c r="G37" i="10"/>
  <c r="X36" i="10"/>
  <c r="G36" i="10"/>
  <c r="C36" i="10"/>
  <c r="X35" i="10"/>
  <c r="G35" i="10"/>
  <c r="X34" i="10"/>
  <c r="G34" i="10"/>
  <c r="U33" i="10"/>
  <c r="T33" i="10"/>
  <c r="T31" i="10" s="1"/>
  <c r="S33" i="10"/>
  <c r="R33" i="10"/>
  <c r="Q33" i="10"/>
  <c r="Q31" i="10" s="1"/>
  <c r="P33" i="10"/>
  <c r="P31" i="10" s="1"/>
  <c r="O33" i="10"/>
  <c r="N33" i="10"/>
  <c r="M33" i="10"/>
  <c r="L33" i="10"/>
  <c r="G33" i="10"/>
  <c r="X32" i="10"/>
  <c r="G32" i="10"/>
  <c r="V31" i="10"/>
  <c r="U31" i="10"/>
  <c r="S31" i="10"/>
  <c r="R31" i="10"/>
  <c r="O31" i="10"/>
  <c r="N31" i="10"/>
  <c r="M31" i="10"/>
  <c r="K31" i="10"/>
  <c r="G31" i="10"/>
  <c r="F31" i="10"/>
  <c r="E31" i="10"/>
  <c r="D31" i="10"/>
  <c r="C31" i="10"/>
  <c r="X30" i="10"/>
  <c r="G30" i="10"/>
  <c r="X29" i="10"/>
  <c r="G29" i="10"/>
  <c r="X28" i="10"/>
  <c r="G28" i="10"/>
  <c r="X27" i="10"/>
  <c r="G27" i="10"/>
  <c r="X26" i="10"/>
  <c r="G26" i="10"/>
  <c r="X25" i="10"/>
  <c r="G25" i="10"/>
  <c r="X24" i="10"/>
  <c r="G24" i="10"/>
  <c r="X23" i="10"/>
  <c r="G23" i="10"/>
  <c r="X22" i="10"/>
  <c r="G22" i="10"/>
  <c r="X21" i="10"/>
  <c r="G21" i="10"/>
  <c r="X20" i="10"/>
  <c r="G20" i="10"/>
  <c r="X19" i="10"/>
  <c r="V19" i="10"/>
  <c r="U19" i="10"/>
  <c r="T19" i="10"/>
  <c r="S19" i="10"/>
  <c r="S16" i="10" s="1"/>
  <c r="R19" i="10"/>
  <c r="Q19" i="10"/>
  <c r="P19" i="10"/>
  <c r="P16" i="10" s="1"/>
  <c r="O19" i="10"/>
  <c r="N19" i="10"/>
  <c r="M19" i="10"/>
  <c r="L19" i="10"/>
  <c r="K19" i="10"/>
  <c r="K16" i="10" s="1"/>
  <c r="G19" i="10"/>
  <c r="F19" i="10"/>
  <c r="E19" i="10"/>
  <c r="E16" i="10" s="1"/>
  <c r="D19" i="10"/>
  <c r="C19" i="10"/>
  <c r="X18" i="10"/>
  <c r="G18" i="10"/>
  <c r="X17" i="10"/>
  <c r="G17" i="10"/>
  <c r="C17" i="10"/>
  <c r="X16" i="10"/>
  <c r="V16" i="10"/>
  <c r="V38" i="10" s="1"/>
  <c r="U16" i="10"/>
  <c r="T16" i="10"/>
  <c r="R16" i="10"/>
  <c r="Q16" i="10"/>
  <c r="O16" i="10"/>
  <c r="N16" i="10"/>
  <c r="M16" i="10"/>
  <c r="L16" i="10"/>
  <c r="F16" i="10"/>
  <c r="D16" i="10"/>
  <c r="C16" i="10"/>
  <c r="G16" i="10" s="1"/>
  <c r="U15" i="10"/>
  <c r="T15" i="10"/>
  <c r="S15" i="10"/>
  <c r="R15" i="10"/>
  <c r="R12" i="10" s="1"/>
  <c r="R38" i="10" s="1"/>
  <c r="Q15" i="10"/>
  <c r="P15" i="10"/>
  <c r="O15" i="10"/>
  <c r="O12" i="10" s="1"/>
  <c r="N15" i="10"/>
  <c r="N12" i="10" s="1"/>
  <c r="N38" i="10" s="1"/>
  <c r="M15" i="10"/>
  <c r="D15" i="10"/>
  <c r="X14" i="10"/>
  <c r="G14" i="10"/>
  <c r="X13" i="10"/>
  <c r="G13" i="10"/>
  <c r="D13" i="10"/>
  <c r="D12" i="10" s="1"/>
  <c r="D38" i="10" s="1"/>
  <c r="V12" i="10"/>
  <c r="U12" i="10"/>
  <c r="U38" i="10" s="1"/>
  <c r="T12" i="10"/>
  <c r="T38" i="10" s="1"/>
  <c r="S12" i="10"/>
  <c r="Q12" i="10"/>
  <c r="Q38" i="10" s="1"/>
  <c r="P12" i="10"/>
  <c r="M12" i="10"/>
  <c r="M38" i="10" s="1"/>
  <c r="L12" i="10"/>
  <c r="K12" i="10"/>
  <c r="F12" i="10"/>
  <c r="E12" i="10"/>
  <c r="E38" i="10" s="1"/>
  <c r="C12" i="10"/>
  <c r="X11" i="10"/>
  <c r="G11" i="10"/>
  <c r="V8" i="10"/>
  <c r="U8" i="10"/>
  <c r="T8" i="10"/>
  <c r="S8" i="10"/>
  <c r="R8" i="10"/>
  <c r="Q8" i="10"/>
  <c r="P8" i="10"/>
  <c r="O8" i="10"/>
  <c r="N8" i="10"/>
  <c r="M8" i="10"/>
  <c r="M40" i="10" s="1"/>
  <c r="L8" i="10"/>
  <c r="K8" i="10"/>
  <c r="X8" i="10" s="1"/>
  <c r="F8" i="10"/>
  <c r="G8" i="10" s="1"/>
  <c r="E8" i="10"/>
  <c r="D8" i="10"/>
  <c r="C8" i="10"/>
  <c r="X7" i="10"/>
  <c r="G7" i="10"/>
  <c r="X6" i="10"/>
  <c r="G6" i="10"/>
  <c r="X5" i="10"/>
  <c r="G5" i="10"/>
  <c r="U11" i="9"/>
  <c r="T11" i="9"/>
  <c r="R11" i="9"/>
  <c r="M11" i="9"/>
  <c r="L11" i="9"/>
  <c r="G11" i="9"/>
  <c r="F11" i="9"/>
  <c r="E11" i="9"/>
  <c r="D11" i="9"/>
  <c r="C11" i="9"/>
  <c r="X10" i="9"/>
  <c r="G10" i="9"/>
  <c r="V9" i="9"/>
  <c r="V11" i="9" s="1"/>
  <c r="U9" i="9"/>
  <c r="T9" i="9"/>
  <c r="S9" i="9"/>
  <c r="S11" i="9" s="1"/>
  <c r="R9" i="9"/>
  <c r="Q9" i="9"/>
  <c r="Q11" i="9" s="1"/>
  <c r="P9" i="9"/>
  <c r="P11" i="9" s="1"/>
  <c r="O9" i="9"/>
  <c r="O11" i="9" s="1"/>
  <c r="N9" i="9"/>
  <c r="N11" i="9" s="1"/>
  <c r="M9" i="9"/>
  <c r="L9" i="9"/>
  <c r="K9" i="9"/>
  <c r="K11" i="9" s="1"/>
  <c r="G9" i="9"/>
  <c r="U6" i="9"/>
  <c r="T6" i="9"/>
  <c r="S6" i="9"/>
  <c r="R6" i="9"/>
  <c r="Q6" i="9"/>
  <c r="P6" i="9"/>
  <c r="O6" i="9"/>
  <c r="N6" i="9"/>
  <c r="M6" i="9"/>
  <c r="L6" i="9"/>
  <c r="K6" i="9"/>
  <c r="F6" i="9"/>
  <c r="E6" i="9"/>
  <c r="D6" i="9"/>
  <c r="C6" i="9"/>
  <c r="G6" i="9" s="1"/>
  <c r="X5" i="9"/>
  <c r="X6" i="9" s="1"/>
  <c r="G5" i="9"/>
  <c r="V47" i="8"/>
  <c r="X46" i="8"/>
  <c r="X45" i="8" s="1"/>
  <c r="G46" i="8"/>
  <c r="V45" i="8"/>
  <c r="U45" i="8"/>
  <c r="T45" i="8"/>
  <c r="S45" i="8"/>
  <c r="R45" i="8"/>
  <c r="Q45" i="8"/>
  <c r="P45" i="8"/>
  <c r="O45" i="8"/>
  <c r="N45" i="8"/>
  <c r="M45" i="8"/>
  <c r="F45" i="8"/>
  <c r="G45" i="8" s="1"/>
  <c r="E45" i="8"/>
  <c r="D45" i="8"/>
  <c r="C45" i="8"/>
  <c r="X44" i="8"/>
  <c r="G44" i="8"/>
  <c r="X43" i="8"/>
  <c r="G43" i="8"/>
  <c r="X42" i="8"/>
  <c r="G42" i="8"/>
  <c r="X41" i="8"/>
  <c r="G41" i="8"/>
  <c r="X40" i="8"/>
  <c r="G40" i="8"/>
  <c r="U39" i="8"/>
  <c r="T39" i="8"/>
  <c r="S39" i="8"/>
  <c r="S37" i="8" s="1"/>
  <c r="R39" i="8"/>
  <c r="Q39" i="8"/>
  <c r="P39" i="8"/>
  <c r="O39" i="8"/>
  <c r="N39" i="8"/>
  <c r="M39" i="8"/>
  <c r="L39" i="8"/>
  <c r="G39" i="8"/>
  <c r="X38" i="8"/>
  <c r="G38" i="8"/>
  <c r="E38" i="8"/>
  <c r="V37" i="8"/>
  <c r="U37" i="8"/>
  <c r="T37" i="8"/>
  <c r="R37" i="8"/>
  <c r="Q37" i="8"/>
  <c r="P37" i="8"/>
  <c r="O37" i="8"/>
  <c r="N37" i="8"/>
  <c r="M37" i="8"/>
  <c r="L37" i="8"/>
  <c r="K37" i="8"/>
  <c r="G37" i="8"/>
  <c r="F37" i="8"/>
  <c r="E37" i="8"/>
  <c r="D37" i="8"/>
  <c r="C37" i="8"/>
  <c r="X36" i="8"/>
  <c r="G36" i="8"/>
  <c r="U35" i="8"/>
  <c r="T35" i="8"/>
  <c r="S35" i="8"/>
  <c r="R35" i="8"/>
  <c r="Q35" i="8"/>
  <c r="P35" i="8"/>
  <c r="O35" i="8"/>
  <c r="N35" i="8"/>
  <c r="M35" i="8"/>
  <c r="X35" i="8" s="1"/>
  <c r="L35" i="8"/>
  <c r="K35" i="8"/>
  <c r="G35" i="8"/>
  <c r="X34" i="8"/>
  <c r="G34" i="8"/>
  <c r="X33" i="8"/>
  <c r="G33" i="8"/>
  <c r="X32" i="8"/>
  <c r="G32" i="8"/>
  <c r="U31" i="8"/>
  <c r="T31" i="8"/>
  <c r="S31" i="8"/>
  <c r="R31" i="8"/>
  <c r="Q31" i="8"/>
  <c r="P31" i="8"/>
  <c r="O31" i="8"/>
  <c r="N31" i="8"/>
  <c r="M31" i="8"/>
  <c r="L31" i="8"/>
  <c r="K31" i="8"/>
  <c r="G31" i="8"/>
  <c r="U30" i="8"/>
  <c r="S77" i="2" s="1"/>
  <c r="T30" i="8"/>
  <c r="S30" i="8"/>
  <c r="R30" i="8"/>
  <c r="Q30" i="8"/>
  <c r="P30" i="8"/>
  <c r="O30" i="8"/>
  <c r="N30" i="8"/>
  <c r="M30" i="8"/>
  <c r="L30" i="8"/>
  <c r="K30" i="8"/>
  <c r="G30" i="8"/>
  <c r="U29" i="8"/>
  <c r="T29" i="8"/>
  <c r="S29" i="8"/>
  <c r="R29" i="8"/>
  <c r="Q29" i="8"/>
  <c r="P29" i="8"/>
  <c r="O29" i="8"/>
  <c r="N29" i="8"/>
  <c r="M29" i="8"/>
  <c r="L29" i="8"/>
  <c r="K29" i="8"/>
  <c r="X29" i="8" s="1"/>
  <c r="G29" i="8"/>
  <c r="C29" i="8"/>
  <c r="U28" i="8"/>
  <c r="T28" i="8"/>
  <c r="S28" i="8"/>
  <c r="R28" i="8"/>
  <c r="Q28" i="8"/>
  <c r="P28" i="8"/>
  <c r="O28" i="8"/>
  <c r="N28" i="8"/>
  <c r="M28" i="8"/>
  <c r="L28" i="8"/>
  <c r="K28" i="8"/>
  <c r="X28" i="8" s="1"/>
  <c r="C28" i="8"/>
  <c r="G28" i="8" s="1"/>
  <c r="U27" i="8"/>
  <c r="T27" i="8"/>
  <c r="S27" i="8"/>
  <c r="R27" i="8"/>
  <c r="Q27" i="8"/>
  <c r="P27" i="8"/>
  <c r="O27" i="8"/>
  <c r="N27" i="8"/>
  <c r="X27" i="8" s="1"/>
  <c r="M27" i="8"/>
  <c r="L27" i="8"/>
  <c r="K27" i="8"/>
  <c r="G27" i="8"/>
  <c r="C27" i="8"/>
  <c r="U26" i="8"/>
  <c r="T26" i="8"/>
  <c r="S26" i="8"/>
  <c r="R26" i="8"/>
  <c r="Q26" i="8"/>
  <c r="P26" i="8"/>
  <c r="O26" i="8"/>
  <c r="N26" i="8"/>
  <c r="M26" i="8"/>
  <c r="L26" i="8"/>
  <c r="K26" i="8"/>
  <c r="C26" i="8"/>
  <c r="G26" i="8" s="1"/>
  <c r="U25" i="8"/>
  <c r="T25" i="8"/>
  <c r="S25" i="8"/>
  <c r="Q72" i="2" s="1"/>
  <c r="R25" i="8"/>
  <c r="R21" i="8" s="1"/>
  <c r="R19" i="8" s="1"/>
  <c r="Q25" i="8"/>
  <c r="P25" i="8"/>
  <c r="O25" i="8"/>
  <c r="N25" i="8"/>
  <c r="M25" i="8"/>
  <c r="L25" i="8"/>
  <c r="K25" i="8"/>
  <c r="G25" i="8"/>
  <c r="C25" i="8"/>
  <c r="U24" i="8"/>
  <c r="T24" i="8"/>
  <c r="S24" i="8"/>
  <c r="R24" i="8"/>
  <c r="Q24" i="8"/>
  <c r="Q21" i="8" s="1"/>
  <c r="Q19" i="8" s="1"/>
  <c r="P24" i="8"/>
  <c r="P21" i="8" s="1"/>
  <c r="P19" i="8" s="1"/>
  <c r="O24" i="8"/>
  <c r="N24" i="8"/>
  <c r="M24" i="8"/>
  <c r="L24" i="8"/>
  <c r="K24" i="8"/>
  <c r="C24" i="8"/>
  <c r="U23" i="8"/>
  <c r="T23" i="8"/>
  <c r="S23" i="8"/>
  <c r="R23" i="8"/>
  <c r="Q23" i="8"/>
  <c r="P23" i="8"/>
  <c r="O23" i="8"/>
  <c r="O21" i="8" s="1"/>
  <c r="O19" i="8" s="1"/>
  <c r="N23" i="8"/>
  <c r="M23" i="8"/>
  <c r="L23" i="8"/>
  <c r="K23" i="8"/>
  <c r="G23" i="8"/>
  <c r="C23" i="8"/>
  <c r="U22" i="8"/>
  <c r="T22" i="8"/>
  <c r="T21" i="8" s="1"/>
  <c r="T19" i="8" s="1"/>
  <c r="S22" i="8"/>
  <c r="R22" i="8"/>
  <c r="Q22" i="8"/>
  <c r="P22" i="8"/>
  <c r="O22" i="8"/>
  <c r="N22" i="8"/>
  <c r="M22" i="8"/>
  <c r="L22" i="8"/>
  <c r="K22" i="8"/>
  <c r="F22" i="8"/>
  <c r="G22" i="8" s="1"/>
  <c r="C22" i="8"/>
  <c r="V21" i="8"/>
  <c r="L21" i="8"/>
  <c r="L19" i="8" s="1"/>
  <c r="F21" i="8"/>
  <c r="E21" i="8"/>
  <c r="D21" i="8"/>
  <c r="D19" i="8" s="1"/>
  <c r="X20" i="8"/>
  <c r="G20" i="8"/>
  <c r="V19" i="8"/>
  <c r="F19" i="8"/>
  <c r="E19" i="8"/>
  <c r="X18" i="8"/>
  <c r="G18" i="8"/>
  <c r="X17" i="8"/>
  <c r="G17" i="8"/>
  <c r="V16" i="8"/>
  <c r="V12" i="8" s="1"/>
  <c r="U16" i="8"/>
  <c r="T16" i="8"/>
  <c r="S16" i="8"/>
  <c r="R16" i="8"/>
  <c r="Q16" i="8"/>
  <c r="P16" i="8"/>
  <c r="O16" i="8"/>
  <c r="O12" i="8" s="1"/>
  <c r="N16" i="8"/>
  <c r="N12" i="8" s="1"/>
  <c r="M16" i="8"/>
  <c r="L16" i="8"/>
  <c r="K16" i="8"/>
  <c r="F16" i="8"/>
  <c r="G16" i="8" s="1"/>
  <c r="E16" i="8"/>
  <c r="D16" i="8"/>
  <c r="C16" i="8"/>
  <c r="C12" i="8" s="1"/>
  <c r="X15" i="8"/>
  <c r="G15" i="8"/>
  <c r="D15" i="8"/>
  <c r="X14" i="8"/>
  <c r="G14" i="8"/>
  <c r="X13" i="8"/>
  <c r="G13" i="8"/>
  <c r="D13" i="8"/>
  <c r="D12" i="8" s="1"/>
  <c r="D47" i="8" s="1"/>
  <c r="U12" i="8"/>
  <c r="T12" i="8"/>
  <c r="S12" i="8"/>
  <c r="R12" i="8"/>
  <c r="Q12" i="8"/>
  <c r="P12" i="8"/>
  <c r="M12" i="8"/>
  <c r="L12" i="8"/>
  <c r="K12" i="8"/>
  <c r="F12" i="8"/>
  <c r="E12" i="8"/>
  <c r="E47" i="8" s="1"/>
  <c r="U11" i="8"/>
  <c r="T11" i="8"/>
  <c r="S11" i="8"/>
  <c r="R11" i="8"/>
  <c r="Q11" i="8"/>
  <c r="P11" i="8"/>
  <c r="O11" i="8"/>
  <c r="O47" i="8" s="1"/>
  <c r="N11" i="8"/>
  <c r="M11" i="8"/>
  <c r="L11" i="8"/>
  <c r="G11" i="8"/>
  <c r="V8" i="8"/>
  <c r="U8" i="8"/>
  <c r="O8" i="8"/>
  <c r="O49" i="8" s="1"/>
  <c r="N8" i="8"/>
  <c r="M8" i="8"/>
  <c r="L8" i="8"/>
  <c r="K8" i="8"/>
  <c r="F8" i="8"/>
  <c r="E8" i="8"/>
  <c r="D8" i="8"/>
  <c r="C8" i="8"/>
  <c r="T7" i="8"/>
  <c r="T8" i="8" s="1"/>
  <c r="S7" i="8"/>
  <c r="S8" i="8" s="1"/>
  <c r="R7" i="8"/>
  <c r="R8" i="8" s="1"/>
  <c r="Q7" i="8"/>
  <c r="Q8" i="8" s="1"/>
  <c r="P7" i="8"/>
  <c r="P8" i="8" s="1"/>
  <c r="O7" i="8"/>
  <c r="N7" i="8"/>
  <c r="G7" i="8"/>
  <c r="X6" i="8"/>
  <c r="G6" i="8"/>
  <c r="X5" i="8"/>
  <c r="G5" i="8"/>
  <c r="V13" i="7"/>
  <c r="O13" i="7"/>
  <c r="N13" i="7"/>
  <c r="W11" i="7"/>
  <c r="V11" i="7"/>
  <c r="T11" i="7"/>
  <c r="O11" i="7"/>
  <c r="N11" i="7"/>
  <c r="L11" i="7"/>
  <c r="F11" i="7"/>
  <c r="G11" i="7" s="1"/>
  <c r="E11" i="7"/>
  <c r="D11" i="7"/>
  <c r="C11" i="7"/>
  <c r="X10" i="7"/>
  <c r="G10" i="7"/>
  <c r="V9" i="7"/>
  <c r="U9" i="7"/>
  <c r="U11" i="7" s="1"/>
  <c r="T9" i="7"/>
  <c r="S9" i="7"/>
  <c r="S11" i="7" s="1"/>
  <c r="R9" i="7"/>
  <c r="R11" i="7" s="1"/>
  <c r="Q9" i="7"/>
  <c r="Q11" i="7" s="1"/>
  <c r="P9" i="7"/>
  <c r="P11" i="7" s="1"/>
  <c r="O9" i="7"/>
  <c r="N9" i="7"/>
  <c r="M9" i="7"/>
  <c r="M11" i="7" s="1"/>
  <c r="L9" i="7"/>
  <c r="K9" i="7"/>
  <c r="G9" i="7"/>
  <c r="X6" i="7"/>
  <c r="W6" i="7"/>
  <c r="W13" i="7" s="1"/>
  <c r="V6" i="7"/>
  <c r="U6" i="7"/>
  <c r="T6" i="7"/>
  <c r="T13" i="7" s="1"/>
  <c r="S6" i="7"/>
  <c r="S13" i="7" s="1"/>
  <c r="R6" i="7"/>
  <c r="Q6" i="7"/>
  <c r="Q13" i="7" s="1"/>
  <c r="P6" i="7"/>
  <c r="P13" i="7" s="1"/>
  <c r="O6" i="7"/>
  <c r="N6" i="7"/>
  <c r="M6" i="7"/>
  <c r="L6" i="7"/>
  <c r="L13" i="7" s="1"/>
  <c r="K6" i="7"/>
  <c r="F6" i="7"/>
  <c r="G6" i="7" s="1"/>
  <c r="E6" i="7"/>
  <c r="D6" i="7"/>
  <c r="C6" i="7"/>
  <c r="X5" i="7"/>
  <c r="G5" i="7"/>
  <c r="X60" i="6"/>
  <c r="G60" i="6"/>
  <c r="X59" i="6"/>
  <c r="X56" i="6" s="1"/>
  <c r="G59" i="6"/>
  <c r="X58" i="6"/>
  <c r="G58" i="6"/>
  <c r="X57" i="6"/>
  <c r="F57" i="6"/>
  <c r="G57" i="6" s="1"/>
  <c r="V56" i="6"/>
  <c r="U56" i="6"/>
  <c r="T56" i="6"/>
  <c r="S56" i="6"/>
  <c r="R56" i="6"/>
  <c r="Q56" i="6"/>
  <c r="P56" i="6"/>
  <c r="O56" i="6"/>
  <c r="N56" i="6"/>
  <c r="M56" i="6"/>
  <c r="L56" i="6"/>
  <c r="K56" i="6"/>
  <c r="E56" i="6"/>
  <c r="D56" i="6"/>
  <c r="C56" i="6"/>
  <c r="X55" i="6"/>
  <c r="G55" i="6"/>
  <c r="X54" i="6"/>
  <c r="G54" i="6"/>
  <c r="X53" i="6"/>
  <c r="G53" i="6"/>
  <c r="X52" i="6"/>
  <c r="G52" i="6"/>
  <c r="X51" i="6"/>
  <c r="G51" i="6"/>
  <c r="V50" i="6"/>
  <c r="U50" i="6"/>
  <c r="T50" i="6"/>
  <c r="S50" i="6"/>
  <c r="R50" i="6"/>
  <c r="Q50" i="6"/>
  <c r="P50" i="6"/>
  <c r="O50" i="6"/>
  <c r="N50" i="6"/>
  <c r="M50" i="6"/>
  <c r="L50" i="6"/>
  <c r="K50" i="6"/>
  <c r="G50" i="6"/>
  <c r="X49" i="6"/>
  <c r="G49" i="6"/>
  <c r="C49" i="6"/>
  <c r="U48" i="6"/>
  <c r="T48" i="6"/>
  <c r="S48" i="6"/>
  <c r="R48" i="6"/>
  <c r="Q48" i="6"/>
  <c r="P48" i="6"/>
  <c r="O48" i="6"/>
  <c r="N48" i="6"/>
  <c r="M48" i="6"/>
  <c r="L48" i="6"/>
  <c r="G48" i="6"/>
  <c r="X47" i="6"/>
  <c r="G47" i="6"/>
  <c r="X46" i="6"/>
  <c r="G46" i="6"/>
  <c r="X45" i="6"/>
  <c r="C45" i="6"/>
  <c r="G45" i="6" s="1"/>
  <c r="X44" i="6"/>
  <c r="G44" i="6"/>
  <c r="U43" i="6"/>
  <c r="T43" i="6"/>
  <c r="S43" i="6"/>
  <c r="R43" i="6"/>
  <c r="Q43" i="6"/>
  <c r="P43" i="6"/>
  <c r="O43" i="6"/>
  <c r="O39" i="6" s="1"/>
  <c r="N43" i="6"/>
  <c r="M43" i="6"/>
  <c r="L43" i="6"/>
  <c r="G43" i="6"/>
  <c r="V42" i="6"/>
  <c r="V39" i="6" s="1"/>
  <c r="U42" i="6"/>
  <c r="U39" i="6" s="1"/>
  <c r="T42" i="6"/>
  <c r="T39" i="6" s="1"/>
  <c r="S42" i="6"/>
  <c r="R42" i="6"/>
  <c r="Q42" i="6"/>
  <c r="P42" i="6"/>
  <c r="O42" i="6"/>
  <c r="N42" i="6"/>
  <c r="M42" i="6"/>
  <c r="M39" i="6" s="1"/>
  <c r="L42" i="6"/>
  <c r="K42" i="6"/>
  <c r="G42" i="6"/>
  <c r="T41" i="6"/>
  <c r="S41" i="6"/>
  <c r="R41" i="6"/>
  <c r="Q41" i="6"/>
  <c r="Q39" i="6" s="1"/>
  <c r="P41" i="6"/>
  <c r="O41" i="6"/>
  <c r="N41" i="6"/>
  <c r="N39" i="6" s="1"/>
  <c r="M41" i="6"/>
  <c r="X41" i="6" s="1"/>
  <c r="C41" i="6"/>
  <c r="G41" i="6" s="1"/>
  <c r="X40" i="6"/>
  <c r="G40" i="6"/>
  <c r="P39" i="6"/>
  <c r="F39" i="6"/>
  <c r="E39" i="6"/>
  <c r="D39" i="6"/>
  <c r="X38" i="6"/>
  <c r="G38" i="6"/>
  <c r="E38" i="6"/>
  <c r="X37" i="6"/>
  <c r="G37" i="6"/>
  <c r="X36" i="6"/>
  <c r="G36" i="6"/>
  <c r="X35" i="6"/>
  <c r="G35" i="6"/>
  <c r="V34" i="6"/>
  <c r="U34" i="6"/>
  <c r="T34" i="6"/>
  <c r="S34" i="6"/>
  <c r="R34" i="6"/>
  <c r="Q34" i="6"/>
  <c r="P34" i="6"/>
  <c r="O34" i="6"/>
  <c r="N34" i="6"/>
  <c r="M34" i="6"/>
  <c r="L34" i="6"/>
  <c r="K34" i="6"/>
  <c r="G34" i="6"/>
  <c r="F34" i="6"/>
  <c r="E34" i="6"/>
  <c r="D34" i="6"/>
  <c r="C34" i="6"/>
  <c r="X33" i="6"/>
  <c r="G33" i="6"/>
  <c r="G32" i="6"/>
  <c r="V31" i="6"/>
  <c r="U31" i="6"/>
  <c r="T31" i="6"/>
  <c r="S31" i="6"/>
  <c r="R31" i="6"/>
  <c r="Q31" i="6"/>
  <c r="P31" i="6"/>
  <c r="X32" i="6" s="1"/>
  <c r="X31" i="6" s="1"/>
  <c r="O31" i="6"/>
  <c r="N31" i="6"/>
  <c r="M31" i="6"/>
  <c r="L31" i="6"/>
  <c r="K31" i="6"/>
  <c r="F31" i="6"/>
  <c r="G31" i="6" s="1"/>
  <c r="E31" i="6"/>
  <c r="D31" i="6"/>
  <c r="C31" i="6"/>
  <c r="X30" i="6"/>
  <c r="G30" i="6"/>
  <c r="V29" i="6"/>
  <c r="U29" i="6"/>
  <c r="T29" i="6"/>
  <c r="S29" i="6"/>
  <c r="R29" i="6"/>
  <c r="O29" i="6"/>
  <c r="N29" i="6"/>
  <c r="M29" i="6"/>
  <c r="L29" i="6"/>
  <c r="K29" i="6"/>
  <c r="G29" i="6"/>
  <c r="F29" i="6"/>
  <c r="Q29" i="6" s="1"/>
  <c r="V28" i="6"/>
  <c r="U28" i="6"/>
  <c r="T28" i="6"/>
  <c r="R50" i="2" s="1"/>
  <c r="S28" i="6"/>
  <c r="R28" i="6"/>
  <c r="Q28" i="6"/>
  <c r="P28" i="6"/>
  <c r="O28" i="6"/>
  <c r="N28" i="6"/>
  <c r="M28" i="6"/>
  <c r="L28" i="6"/>
  <c r="J50" i="2" s="1"/>
  <c r="K28" i="6"/>
  <c r="G28" i="6"/>
  <c r="G27" i="6"/>
  <c r="F27" i="6"/>
  <c r="Q26" i="6"/>
  <c r="P26" i="6"/>
  <c r="N48" i="2" s="1"/>
  <c r="F26" i="6"/>
  <c r="X25" i="6"/>
  <c r="G25" i="6"/>
  <c r="U24" i="6"/>
  <c r="T24" i="6"/>
  <c r="S24" i="6"/>
  <c r="R24" i="6"/>
  <c r="Q24" i="6"/>
  <c r="O46" i="2" s="1"/>
  <c r="P24" i="6"/>
  <c r="O24" i="6"/>
  <c r="N24" i="6"/>
  <c r="M24" i="6"/>
  <c r="L24" i="6"/>
  <c r="G24" i="6"/>
  <c r="X23" i="6"/>
  <c r="G23" i="6"/>
  <c r="X22" i="6"/>
  <c r="G22" i="6"/>
  <c r="X21" i="6"/>
  <c r="G21" i="6"/>
  <c r="U20" i="6"/>
  <c r="T20" i="6"/>
  <c r="T18" i="6" s="1"/>
  <c r="S20" i="6"/>
  <c r="S18" i="6" s="1"/>
  <c r="R20" i="6"/>
  <c r="Q20" i="6"/>
  <c r="P20" i="6"/>
  <c r="O20" i="6"/>
  <c r="N20" i="6"/>
  <c r="M20" i="6"/>
  <c r="L20" i="6"/>
  <c r="L18" i="6" s="1"/>
  <c r="G20" i="6"/>
  <c r="V19" i="6"/>
  <c r="U19" i="6"/>
  <c r="T19" i="6"/>
  <c r="S19" i="6"/>
  <c r="R19" i="6"/>
  <c r="Q19" i="6"/>
  <c r="Q18" i="6" s="1"/>
  <c r="P19" i="6"/>
  <c r="P18" i="6" s="1"/>
  <c r="O19" i="6"/>
  <c r="O18" i="6" s="1"/>
  <c r="N19" i="6"/>
  <c r="M19" i="6"/>
  <c r="L19" i="6"/>
  <c r="K19" i="6"/>
  <c r="C19" i="6"/>
  <c r="G19" i="6" s="1"/>
  <c r="V18" i="6"/>
  <c r="U18" i="6"/>
  <c r="N18" i="6"/>
  <c r="M18" i="6"/>
  <c r="K18" i="6"/>
  <c r="F18" i="6"/>
  <c r="E18" i="6"/>
  <c r="D18" i="6"/>
  <c r="D17" i="6" s="1"/>
  <c r="D61" i="6" s="1"/>
  <c r="C18" i="6"/>
  <c r="C17" i="6" s="1"/>
  <c r="E17" i="6"/>
  <c r="K14" i="6"/>
  <c r="V13" i="6"/>
  <c r="V14" i="6" s="1"/>
  <c r="U13" i="6"/>
  <c r="T13" i="6"/>
  <c r="S13" i="6"/>
  <c r="R13" i="6"/>
  <c r="Q13" i="6"/>
  <c r="P13" i="6"/>
  <c r="O13" i="6"/>
  <c r="N13" i="6"/>
  <c r="M13" i="6"/>
  <c r="L13" i="6"/>
  <c r="K13" i="6"/>
  <c r="G13" i="6"/>
  <c r="D13" i="6"/>
  <c r="D14" i="6" s="1"/>
  <c r="X12" i="6"/>
  <c r="G12" i="6"/>
  <c r="X11" i="6"/>
  <c r="G11" i="6"/>
  <c r="X10" i="6"/>
  <c r="F10" i="6"/>
  <c r="G10" i="6" s="1"/>
  <c r="X9" i="6"/>
  <c r="F9" i="6"/>
  <c r="G9" i="6" s="1"/>
  <c r="C9" i="6"/>
  <c r="C14" i="6" s="1"/>
  <c r="X8" i="6"/>
  <c r="G8" i="6"/>
  <c r="X7" i="6"/>
  <c r="G7" i="6"/>
  <c r="E7" i="6"/>
  <c r="F6" i="6"/>
  <c r="E6" i="6"/>
  <c r="E14" i="6" s="1"/>
  <c r="Q16" i="5"/>
  <c r="U14" i="5"/>
  <c r="M14" i="5"/>
  <c r="C14" i="5"/>
  <c r="U13" i="5"/>
  <c r="T13" i="5"/>
  <c r="S13" i="5"/>
  <c r="R13" i="5"/>
  <c r="Q13" i="5"/>
  <c r="P13" i="5"/>
  <c r="O13" i="5"/>
  <c r="N13" i="5"/>
  <c r="M13" i="5"/>
  <c r="L13" i="5"/>
  <c r="G13" i="5"/>
  <c r="U12" i="5"/>
  <c r="T12" i="5"/>
  <c r="S12" i="5"/>
  <c r="S10" i="5" s="1"/>
  <c r="S14" i="5" s="1"/>
  <c r="R12" i="5"/>
  <c r="P132" i="2" s="1"/>
  <c r="Q12" i="5"/>
  <c r="P12" i="5"/>
  <c r="O12" i="5"/>
  <c r="N12" i="5"/>
  <c r="M12" i="5"/>
  <c r="L12" i="5"/>
  <c r="K12" i="5"/>
  <c r="G12" i="5"/>
  <c r="F12" i="5"/>
  <c r="U11" i="5"/>
  <c r="T11" i="5"/>
  <c r="S11" i="5"/>
  <c r="R11" i="5"/>
  <c r="Q11" i="5"/>
  <c r="Q10" i="5" s="1"/>
  <c r="Q14" i="5" s="1"/>
  <c r="P11" i="5"/>
  <c r="P10" i="5" s="1"/>
  <c r="P14" i="5" s="1"/>
  <c r="O11" i="5"/>
  <c r="N11" i="5"/>
  <c r="M11" i="5"/>
  <c r="L11" i="5"/>
  <c r="G11" i="5"/>
  <c r="V10" i="5"/>
  <c r="V14" i="5" s="1"/>
  <c r="U10" i="5"/>
  <c r="T10" i="5"/>
  <c r="T14" i="5" s="1"/>
  <c r="N10" i="5"/>
  <c r="N14" i="5" s="1"/>
  <c r="M10" i="5"/>
  <c r="L10" i="5"/>
  <c r="L14" i="5" s="1"/>
  <c r="F10" i="5"/>
  <c r="E10" i="5"/>
  <c r="E14" i="5" s="1"/>
  <c r="D10" i="5"/>
  <c r="D14" i="5" s="1"/>
  <c r="C10" i="5"/>
  <c r="V7" i="5"/>
  <c r="U7" i="5"/>
  <c r="T7" i="5"/>
  <c r="S7" i="5"/>
  <c r="R7" i="5"/>
  <c r="Q7" i="5"/>
  <c r="P7" i="5"/>
  <c r="P16" i="5" s="1"/>
  <c r="O7" i="5"/>
  <c r="N7" i="5"/>
  <c r="N16" i="5" s="1"/>
  <c r="M7" i="5"/>
  <c r="L7" i="5"/>
  <c r="L16" i="5" s="1"/>
  <c r="K7" i="5"/>
  <c r="F7" i="5"/>
  <c r="D7" i="5"/>
  <c r="C7" i="5"/>
  <c r="X6" i="5"/>
  <c r="G6" i="5"/>
  <c r="G7" i="5" s="1"/>
  <c r="V11" i="4"/>
  <c r="S11" i="4"/>
  <c r="K11" i="4"/>
  <c r="D11" i="4"/>
  <c r="C11" i="4"/>
  <c r="T10" i="4"/>
  <c r="T11" i="4" s="1"/>
  <c r="S10" i="4"/>
  <c r="L10" i="4"/>
  <c r="G10" i="4"/>
  <c r="F10" i="4"/>
  <c r="Q10" i="4" s="1"/>
  <c r="Q11" i="4" s="1"/>
  <c r="E10" i="4"/>
  <c r="E11" i="4" s="1"/>
  <c r="X9" i="4"/>
  <c r="G9" i="4"/>
  <c r="V6" i="4"/>
  <c r="T6" i="4"/>
  <c r="S6" i="4"/>
  <c r="R6" i="4"/>
  <c r="N6" i="4"/>
  <c r="L6" i="4"/>
  <c r="K6" i="4"/>
  <c r="C6" i="4"/>
  <c r="U5" i="4"/>
  <c r="U6" i="4" s="1"/>
  <c r="T5" i="4"/>
  <c r="S5" i="4"/>
  <c r="R5" i="4"/>
  <c r="Q5" i="4"/>
  <c r="Q6" i="4" s="1"/>
  <c r="P5" i="4"/>
  <c r="P6" i="4" s="1"/>
  <c r="O5" i="4"/>
  <c r="O6" i="4" s="1"/>
  <c r="M5" i="4"/>
  <c r="M6" i="4" s="1"/>
  <c r="L5" i="4"/>
  <c r="N15" i="3"/>
  <c r="D15" i="3"/>
  <c r="U14" i="3"/>
  <c r="T14" i="3"/>
  <c r="S14" i="3"/>
  <c r="R14" i="3"/>
  <c r="Q14" i="3"/>
  <c r="P14" i="3"/>
  <c r="P10" i="3" s="1"/>
  <c r="P15" i="3" s="1"/>
  <c r="O14" i="3"/>
  <c r="M139" i="2" s="1"/>
  <c r="N14" i="3"/>
  <c r="M14" i="3"/>
  <c r="L14" i="3"/>
  <c r="G14" i="3"/>
  <c r="X13" i="3"/>
  <c r="G13" i="3"/>
  <c r="X12" i="3"/>
  <c r="G12" i="3"/>
  <c r="F12" i="3"/>
  <c r="C12" i="3"/>
  <c r="U11" i="3"/>
  <c r="U10" i="3" s="1"/>
  <c r="U15" i="3" s="1"/>
  <c r="T11" i="3"/>
  <c r="S11" i="3"/>
  <c r="S10" i="3" s="1"/>
  <c r="S15" i="3" s="1"/>
  <c r="R11" i="3"/>
  <c r="R10" i="3" s="1"/>
  <c r="R15" i="3" s="1"/>
  <c r="R17" i="3" s="1"/>
  <c r="Q11" i="3"/>
  <c r="Q10" i="3" s="1"/>
  <c r="Q15" i="3" s="1"/>
  <c r="P11" i="3"/>
  <c r="O11" i="3"/>
  <c r="N11" i="3"/>
  <c r="M11" i="3"/>
  <c r="L11" i="3"/>
  <c r="G11" i="3"/>
  <c r="V10" i="3"/>
  <c r="V15" i="3" s="1"/>
  <c r="T10" i="3"/>
  <c r="T15" i="3" s="1"/>
  <c r="O10" i="3"/>
  <c r="O15" i="3" s="1"/>
  <c r="N10" i="3"/>
  <c r="M10" i="3"/>
  <c r="M15" i="3" s="1"/>
  <c r="L10" i="3"/>
  <c r="L15" i="3" s="1"/>
  <c r="K10" i="3"/>
  <c r="K15" i="3" s="1"/>
  <c r="F10" i="3"/>
  <c r="E10" i="3"/>
  <c r="E15" i="3" s="1"/>
  <c r="D10" i="3"/>
  <c r="C10" i="3"/>
  <c r="C15" i="3" s="1"/>
  <c r="V7" i="3"/>
  <c r="U7" i="3"/>
  <c r="U17" i="3" s="1"/>
  <c r="T7" i="3"/>
  <c r="S7" i="3"/>
  <c r="S17" i="3" s="1"/>
  <c r="R7" i="3"/>
  <c r="Q7" i="3"/>
  <c r="Q17" i="3" s="1"/>
  <c r="P7" i="3"/>
  <c r="P17" i="3" s="1"/>
  <c r="O7" i="3"/>
  <c r="O17" i="3" s="1"/>
  <c r="N7" i="3"/>
  <c r="M7" i="3"/>
  <c r="M17" i="3" s="1"/>
  <c r="L7" i="3"/>
  <c r="L17" i="3" s="1"/>
  <c r="K7" i="3"/>
  <c r="K17" i="3" s="1"/>
  <c r="G7" i="3"/>
  <c r="F7" i="3"/>
  <c r="D7" i="3"/>
  <c r="C7" i="3"/>
  <c r="X6" i="3"/>
  <c r="G6" i="3"/>
  <c r="V173" i="2"/>
  <c r="G173" i="2"/>
  <c r="T172" i="2"/>
  <c r="T168" i="2" s="1"/>
  <c r="S172" i="2"/>
  <c r="R172" i="2"/>
  <c r="Q172" i="2"/>
  <c r="P172" i="2"/>
  <c r="O172" i="2"/>
  <c r="N172" i="2"/>
  <c r="M172" i="2"/>
  <c r="M168" i="2" s="1"/>
  <c r="L172" i="2"/>
  <c r="L168" i="2" s="1"/>
  <c r="K172" i="2"/>
  <c r="J172" i="2"/>
  <c r="I172" i="2"/>
  <c r="F172" i="2"/>
  <c r="E172" i="2"/>
  <c r="D172" i="2"/>
  <c r="C172" i="2"/>
  <c r="T171" i="2"/>
  <c r="S171" i="2"/>
  <c r="P171" i="2"/>
  <c r="O171" i="2"/>
  <c r="N171" i="2"/>
  <c r="N168" i="2" s="1"/>
  <c r="M171" i="2"/>
  <c r="L171" i="2"/>
  <c r="K171" i="2"/>
  <c r="F171" i="2"/>
  <c r="E171" i="2"/>
  <c r="E168" i="2" s="1"/>
  <c r="D171" i="2"/>
  <c r="C171" i="2"/>
  <c r="T170" i="2"/>
  <c r="S170" i="2"/>
  <c r="Q170" i="2"/>
  <c r="P170" i="2"/>
  <c r="O170" i="2"/>
  <c r="N170" i="2"/>
  <c r="M170" i="2"/>
  <c r="L170" i="2"/>
  <c r="K170" i="2"/>
  <c r="I170" i="2"/>
  <c r="G170" i="2"/>
  <c r="F170" i="2"/>
  <c r="E170" i="2"/>
  <c r="D170" i="2"/>
  <c r="C170" i="2"/>
  <c r="T169" i="2"/>
  <c r="S169" i="2"/>
  <c r="S168" i="2" s="1"/>
  <c r="R169" i="2"/>
  <c r="Q169" i="2"/>
  <c r="N169" i="2"/>
  <c r="M169" i="2"/>
  <c r="L169" i="2"/>
  <c r="K169" i="2"/>
  <c r="K168" i="2" s="1"/>
  <c r="J169" i="2"/>
  <c r="I169" i="2"/>
  <c r="F169" i="2"/>
  <c r="E169" i="2"/>
  <c r="D169" i="2"/>
  <c r="C169" i="2"/>
  <c r="G169" i="2" s="1"/>
  <c r="D168" i="2"/>
  <c r="T167" i="2"/>
  <c r="S167" i="2"/>
  <c r="R167" i="2"/>
  <c r="Q167" i="2"/>
  <c r="P167" i="2"/>
  <c r="O167" i="2"/>
  <c r="N167" i="2"/>
  <c r="M167" i="2"/>
  <c r="L167" i="2"/>
  <c r="K167" i="2"/>
  <c r="J167" i="2"/>
  <c r="I167" i="2"/>
  <c r="F167" i="2"/>
  <c r="G167" i="2" s="1"/>
  <c r="E167" i="2"/>
  <c r="D167" i="2"/>
  <c r="C167" i="2"/>
  <c r="T166" i="2"/>
  <c r="S166" i="2"/>
  <c r="R166" i="2"/>
  <c r="Q166" i="2"/>
  <c r="P166" i="2"/>
  <c r="O166" i="2"/>
  <c r="N166" i="2"/>
  <c r="M166" i="2"/>
  <c r="L166" i="2"/>
  <c r="K166" i="2"/>
  <c r="J166" i="2"/>
  <c r="I166" i="2"/>
  <c r="V166" i="2" s="1"/>
  <c r="G166" i="2"/>
  <c r="F166" i="2"/>
  <c r="E166" i="2"/>
  <c r="D166" i="2"/>
  <c r="C166" i="2"/>
  <c r="T165" i="2"/>
  <c r="S165" i="2"/>
  <c r="R165" i="2"/>
  <c r="R163" i="2" s="1"/>
  <c r="Q165" i="2"/>
  <c r="P165" i="2"/>
  <c r="O165" i="2"/>
  <c r="N165" i="2"/>
  <c r="M165" i="2"/>
  <c r="L165" i="2"/>
  <c r="K165" i="2"/>
  <c r="J165" i="2"/>
  <c r="J163" i="2" s="1"/>
  <c r="I165" i="2"/>
  <c r="F165" i="2"/>
  <c r="G165" i="2" s="1"/>
  <c r="E165" i="2"/>
  <c r="D165" i="2"/>
  <c r="C165" i="2"/>
  <c r="T164" i="2"/>
  <c r="T163" i="2" s="1"/>
  <c r="S164" i="2"/>
  <c r="S163" i="2" s="1"/>
  <c r="S162" i="2" s="1"/>
  <c r="R164" i="2"/>
  <c r="Q164" i="2"/>
  <c r="P164" i="2"/>
  <c r="O164" i="2"/>
  <c r="N164" i="2"/>
  <c r="M164" i="2"/>
  <c r="M163" i="2" s="1"/>
  <c r="L164" i="2"/>
  <c r="L163" i="2" s="1"/>
  <c r="K164" i="2"/>
  <c r="K163" i="2" s="1"/>
  <c r="K162" i="2" s="1"/>
  <c r="J164" i="2"/>
  <c r="I164" i="2"/>
  <c r="F164" i="2"/>
  <c r="E164" i="2"/>
  <c r="D164" i="2"/>
  <c r="D163" i="2" s="1"/>
  <c r="D162" i="2" s="1"/>
  <c r="C164" i="2"/>
  <c r="C163" i="2" s="1"/>
  <c r="Q163" i="2"/>
  <c r="P163" i="2"/>
  <c r="O163" i="2"/>
  <c r="N163" i="2"/>
  <c r="I163" i="2"/>
  <c r="F163" i="2"/>
  <c r="E163" i="2"/>
  <c r="E162" i="2" s="1"/>
  <c r="T161" i="2"/>
  <c r="S161" i="2"/>
  <c r="R161" i="2"/>
  <c r="Q161" i="2"/>
  <c r="P161" i="2"/>
  <c r="O161" i="2"/>
  <c r="N161" i="2"/>
  <c r="M161" i="2"/>
  <c r="L161" i="2"/>
  <c r="K161" i="2"/>
  <c r="J161" i="2"/>
  <c r="I161" i="2"/>
  <c r="E161" i="2"/>
  <c r="D161" i="2"/>
  <c r="C161" i="2"/>
  <c r="T160" i="2"/>
  <c r="S160" i="2"/>
  <c r="R160" i="2"/>
  <c r="Q160" i="2"/>
  <c r="P160" i="2"/>
  <c r="O160" i="2"/>
  <c r="N160" i="2"/>
  <c r="M160" i="2"/>
  <c r="L160" i="2"/>
  <c r="K160" i="2"/>
  <c r="J160" i="2"/>
  <c r="I160" i="2"/>
  <c r="V160" i="2" s="1"/>
  <c r="F160" i="2"/>
  <c r="E160" i="2"/>
  <c r="D160" i="2"/>
  <c r="C160" i="2"/>
  <c r="T159" i="2"/>
  <c r="S159" i="2"/>
  <c r="R159" i="2"/>
  <c r="Q159" i="2"/>
  <c r="P159" i="2"/>
  <c r="O159" i="2"/>
  <c r="N159" i="2"/>
  <c r="L159" i="2"/>
  <c r="K159" i="2"/>
  <c r="J159" i="2"/>
  <c r="I159" i="2"/>
  <c r="G159" i="2"/>
  <c r="F159" i="2"/>
  <c r="T158" i="2"/>
  <c r="S158" i="2"/>
  <c r="R158" i="2"/>
  <c r="Q158" i="2"/>
  <c r="P158" i="2"/>
  <c r="O158" i="2"/>
  <c r="N158" i="2"/>
  <c r="M158" i="2"/>
  <c r="L158" i="2"/>
  <c r="K158" i="2"/>
  <c r="J158" i="2"/>
  <c r="I158" i="2"/>
  <c r="F158" i="2"/>
  <c r="G158" i="2" s="1"/>
  <c r="E158" i="2"/>
  <c r="D158" i="2"/>
  <c r="C158" i="2"/>
  <c r="T157" i="2"/>
  <c r="S157" i="2"/>
  <c r="R157" i="2"/>
  <c r="Q157" i="2"/>
  <c r="P157" i="2"/>
  <c r="O157" i="2"/>
  <c r="N157" i="2"/>
  <c r="M157" i="2"/>
  <c r="L157" i="2"/>
  <c r="K157" i="2"/>
  <c r="J157" i="2"/>
  <c r="I157" i="2"/>
  <c r="F157" i="2"/>
  <c r="E157" i="2"/>
  <c r="D157" i="2"/>
  <c r="C157" i="2"/>
  <c r="G157" i="2" s="1"/>
  <c r="T156" i="2"/>
  <c r="S156" i="2"/>
  <c r="R156" i="2"/>
  <c r="Q156" i="2"/>
  <c r="P156" i="2"/>
  <c r="O156" i="2"/>
  <c r="N156" i="2"/>
  <c r="M156" i="2"/>
  <c r="V156" i="2" s="1"/>
  <c r="L156" i="2"/>
  <c r="K156" i="2"/>
  <c r="J156" i="2"/>
  <c r="I156" i="2"/>
  <c r="G156" i="2"/>
  <c r="F156" i="2"/>
  <c r="E156" i="2"/>
  <c r="D156" i="2"/>
  <c r="C156" i="2"/>
  <c r="T155" i="2"/>
  <c r="S155" i="2"/>
  <c r="R155" i="2"/>
  <c r="Q155" i="2"/>
  <c r="P155" i="2"/>
  <c r="O155" i="2"/>
  <c r="N155" i="2"/>
  <c r="M155" i="2"/>
  <c r="L155" i="2"/>
  <c r="K155" i="2"/>
  <c r="J155" i="2"/>
  <c r="I155" i="2"/>
  <c r="G155" i="2"/>
  <c r="F155" i="2"/>
  <c r="E155" i="2"/>
  <c r="D155" i="2"/>
  <c r="C155" i="2"/>
  <c r="T154" i="2"/>
  <c r="S154" i="2"/>
  <c r="R154" i="2"/>
  <c r="Q154" i="2"/>
  <c r="P154" i="2"/>
  <c r="O154" i="2"/>
  <c r="N154" i="2"/>
  <c r="M154" i="2"/>
  <c r="L154" i="2"/>
  <c r="K154" i="2"/>
  <c r="J154" i="2"/>
  <c r="I154" i="2"/>
  <c r="V154" i="2" s="1"/>
  <c r="F154" i="2"/>
  <c r="G154" i="2" s="1"/>
  <c r="E154" i="2"/>
  <c r="D154" i="2"/>
  <c r="C154" i="2"/>
  <c r="T153" i="2"/>
  <c r="S153" i="2"/>
  <c r="R153" i="2"/>
  <c r="Q153" i="2"/>
  <c r="P153" i="2"/>
  <c r="O153" i="2"/>
  <c r="N153" i="2"/>
  <c r="M153" i="2"/>
  <c r="L153" i="2"/>
  <c r="K153" i="2"/>
  <c r="J153" i="2"/>
  <c r="I153" i="2"/>
  <c r="V153" i="2" s="1"/>
  <c r="F153" i="2"/>
  <c r="E153" i="2"/>
  <c r="D153" i="2"/>
  <c r="C153" i="2"/>
  <c r="G153" i="2" s="1"/>
  <c r="T152" i="2"/>
  <c r="S152" i="2"/>
  <c r="R152" i="2"/>
  <c r="Q152" i="2"/>
  <c r="P152" i="2"/>
  <c r="O152" i="2"/>
  <c r="N152" i="2"/>
  <c r="M152" i="2"/>
  <c r="V152" i="2" s="1"/>
  <c r="L152" i="2"/>
  <c r="K152" i="2"/>
  <c r="J152" i="2"/>
  <c r="I152" i="2"/>
  <c r="G152" i="2"/>
  <c r="F152" i="2"/>
  <c r="E152" i="2"/>
  <c r="D152" i="2"/>
  <c r="C152" i="2"/>
  <c r="S151" i="2"/>
  <c r="R151" i="2"/>
  <c r="Q151" i="2"/>
  <c r="P151" i="2"/>
  <c r="O151" i="2"/>
  <c r="N151" i="2"/>
  <c r="M151" i="2"/>
  <c r="L151" i="2"/>
  <c r="K151" i="2"/>
  <c r="J151" i="2"/>
  <c r="I151" i="2"/>
  <c r="F151" i="2"/>
  <c r="G151" i="2" s="1"/>
  <c r="E151" i="2"/>
  <c r="D151" i="2"/>
  <c r="C151" i="2"/>
  <c r="T150" i="2"/>
  <c r="S150" i="2"/>
  <c r="R150" i="2"/>
  <c r="Q150" i="2"/>
  <c r="P150" i="2"/>
  <c r="O150" i="2"/>
  <c r="N150" i="2"/>
  <c r="M150" i="2"/>
  <c r="L150" i="2"/>
  <c r="K150" i="2"/>
  <c r="J150" i="2"/>
  <c r="I150" i="2"/>
  <c r="G150" i="2"/>
  <c r="F150" i="2"/>
  <c r="E150" i="2"/>
  <c r="D150" i="2"/>
  <c r="C150" i="2"/>
  <c r="T149" i="2"/>
  <c r="S149" i="2"/>
  <c r="R149" i="2"/>
  <c r="Q149" i="2"/>
  <c r="P149" i="2"/>
  <c r="O149" i="2"/>
  <c r="N149" i="2"/>
  <c r="M149" i="2"/>
  <c r="L149" i="2"/>
  <c r="K149" i="2"/>
  <c r="J149" i="2"/>
  <c r="I149" i="2"/>
  <c r="G149" i="2"/>
  <c r="F149" i="2"/>
  <c r="E149" i="2"/>
  <c r="D149" i="2"/>
  <c r="C149" i="2"/>
  <c r="T148" i="2"/>
  <c r="S148" i="2"/>
  <c r="R148" i="2"/>
  <c r="Q148" i="2"/>
  <c r="P148" i="2"/>
  <c r="O148" i="2"/>
  <c r="N148" i="2"/>
  <c r="M148" i="2"/>
  <c r="V148" i="2" s="1"/>
  <c r="L148" i="2"/>
  <c r="K148" i="2"/>
  <c r="J148" i="2"/>
  <c r="I148" i="2"/>
  <c r="F148" i="2"/>
  <c r="E148" i="2"/>
  <c r="D148" i="2"/>
  <c r="D134" i="2" s="1"/>
  <c r="C148" i="2"/>
  <c r="T147" i="2"/>
  <c r="S147" i="2"/>
  <c r="R147" i="2"/>
  <c r="Q147" i="2"/>
  <c r="P147" i="2"/>
  <c r="O147" i="2"/>
  <c r="N147" i="2"/>
  <c r="M147" i="2"/>
  <c r="L147" i="2"/>
  <c r="K147" i="2"/>
  <c r="J147" i="2"/>
  <c r="I147" i="2"/>
  <c r="F147" i="2"/>
  <c r="G147" i="2" s="1"/>
  <c r="T146" i="2"/>
  <c r="S146" i="2"/>
  <c r="R146" i="2"/>
  <c r="Q146" i="2"/>
  <c r="P146" i="2"/>
  <c r="O146" i="2"/>
  <c r="N146" i="2"/>
  <c r="M146" i="2"/>
  <c r="V146" i="2" s="1"/>
  <c r="L146" i="2"/>
  <c r="K146" i="2"/>
  <c r="J146" i="2"/>
  <c r="I146" i="2"/>
  <c r="G146" i="2"/>
  <c r="F146" i="2"/>
  <c r="E146" i="2"/>
  <c r="D146" i="2"/>
  <c r="C146" i="2"/>
  <c r="T145" i="2"/>
  <c r="S145" i="2"/>
  <c r="R145" i="2"/>
  <c r="Q145" i="2"/>
  <c r="P145" i="2"/>
  <c r="O145" i="2"/>
  <c r="N145" i="2"/>
  <c r="M145" i="2"/>
  <c r="L145" i="2"/>
  <c r="K145" i="2"/>
  <c r="J145" i="2"/>
  <c r="I145" i="2"/>
  <c r="G145" i="2"/>
  <c r="F145" i="2"/>
  <c r="E145" i="2"/>
  <c r="D145" i="2"/>
  <c r="C145" i="2"/>
  <c r="T144" i="2"/>
  <c r="S144" i="2"/>
  <c r="R144" i="2"/>
  <c r="Q144" i="2"/>
  <c r="P144" i="2"/>
  <c r="O144" i="2"/>
  <c r="N144" i="2"/>
  <c r="M144" i="2"/>
  <c r="L144" i="2"/>
  <c r="K144" i="2"/>
  <c r="J144" i="2"/>
  <c r="I144" i="2"/>
  <c r="V144" i="2" s="1"/>
  <c r="F144" i="2"/>
  <c r="G144" i="2" s="1"/>
  <c r="E144" i="2"/>
  <c r="D144" i="2"/>
  <c r="C144" i="2"/>
  <c r="T143" i="2"/>
  <c r="S143" i="2"/>
  <c r="R143" i="2"/>
  <c r="Q143" i="2"/>
  <c r="P143" i="2"/>
  <c r="O143" i="2"/>
  <c r="N143" i="2"/>
  <c r="M143" i="2"/>
  <c r="L143" i="2"/>
  <c r="K143" i="2"/>
  <c r="J143" i="2"/>
  <c r="I143" i="2"/>
  <c r="V143" i="2" s="1"/>
  <c r="F143" i="2"/>
  <c r="E143" i="2"/>
  <c r="D143" i="2"/>
  <c r="C143" i="2"/>
  <c r="G143" i="2" s="1"/>
  <c r="T142" i="2"/>
  <c r="S142" i="2"/>
  <c r="R142" i="2"/>
  <c r="Q142" i="2"/>
  <c r="P142" i="2"/>
  <c r="O142" i="2"/>
  <c r="N142" i="2"/>
  <c r="M142" i="2"/>
  <c r="V142" i="2" s="1"/>
  <c r="L142" i="2"/>
  <c r="K142" i="2"/>
  <c r="J142" i="2"/>
  <c r="I142" i="2"/>
  <c r="G142" i="2"/>
  <c r="F142" i="2"/>
  <c r="E142" i="2"/>
  <c r="D142" i="2"/>
  <c r="C142" i="2"/>
  <c r="T141" i="2"/>
  <c r="S141" i="2"/>
  <c r="R141" i="2"/>
  <c r="Q141" i="2"/>
  <c r="P141" i="2"/>
  <c r="O141" i="2"/>
  <c r="N141" i="2"/>
  <c r="M141" i="2"/>
  <c r="L141" i="2"/>
  <c r="K141" i="2"/>
  <c r="J141" i="2"/>
  <c r="I141" i="2"/>
  <c r="F141" i="2"/>
  <c r="G141" i="2" s="1"/>
  <c r="E141" i="2"/>
  <c r="D141" i="2"/>
  <c r="C141" i="2"/>
  <c r="T140" i="2"/>
  <c r="Q140" i="2"/>
  <c r="O140" i="2"/>
  <c r="J140" i="2"/>
  <c r="I140" i="2"/>
  <c r="F140" i="2"/>
  <c r="G140" i="2" s="1"/>
  <c r="E140" i="2"/>
  <c r="D140" i="2"/>
  <c r="C140" i="2"/>
  <c r="T139" i="2"/>
  <c r="S139" i="2"/>
  <c r="R139" i="2"/>
  <c r="Q139" i="2"/>
  <c r="P139" i="2"/>
  <c r="O139" i="2"/>
  <c r="N139" i="2"/>
  <c r="L139" i="2"/>
  <c r="K139" i="2"/>
  <c r="J139" i="2"/>
  <c r="I139" i="2"/>
  <c r="V139" i="2" s="1"/>
  <c r="F139" i="2"/>
  <c r="E139" i="2"/>
  <c r="D139" i="2"/>
  <c r="C139" i="2"/>
  <c r="G139" i="2" s="1"/>
  <c r="T138" i="2"/>
  <c r="S138" i="2"/>
  <c r="R138" i="2"/>
  <c r="Q138" i="2"/>
  <c r="P138" i="2"/>
  <c r="O138" i="2"/>
  <c r="N138" i="2"/>
  <c r="M138" i="2"/>
  <c r="L138" i="2"/>
  <c r="K138" i="2"/>
  <c r="J138" i="2"/>
  <c r="I138" i="2"/>
  <c r="G138" i="2"/>
  <c r="F138" i="2"/>
  <c r="E138" i="2"/>
  <c r="E134" i="2" s="1"/>
  <c r="D138" i="2"/>
  <c r="C138" i="2"/>
  <c r="T137" i="2"/>
  <c r="S137" i="2"/>
  <c r="R137" i="2"/>
  <c r="Q137" i="2"/>
  <c r="P137" i="2"/>
  <c r="O137" i="2"/>
  <c r="N137" i="2"/>
  <c r="M137" i="2"/>
  <c r="L137" i="2"/>
  <c r="K137" i="2"/>
  <c r="J137" i="2"/>
  <c r="I137" i="2"/>
  <c r="F137" i="2"/>
  <c r="G137" i="2" s="1"/>
  <c r="E137" i="2"/>
  <c r="D137" i="2"/>
  <c r="C137" i="2"/>
  <c r="T136" i="2"/>
  <c r="S136" i="2"/>
  <c r="R136" i="2"/>
  <c r="Q136" i="2"/>
  <c r="P136" i="2"/>
  <c r="O136" i="2"/>
  <c r="N136" i="2"/>
  <c r="M136" i="2"/>
  <c r="L136" i="2"/>
  <c r="K136" i="2"/>
  <c r="J136" i="2"/>
  <c r="I136" i="2"/>
  <c r="F136" i="2"/>
  <c r="G136" i="2" s="1"/>
  <c r="E136" i="2"/>
  <c r="D136" i="2"/>
  <c r="C136" i="2"/>
  <c r="T135" i="2"/>
  <c r="T134" i="2" s="1"/>
  <c r="S135" i="2"/>
  <c r="R135" i="2"/>
  <c r="Q135" i="2"/>
  <c r="P135" i="2"/>
  <c r="O135" i="2"/>
  <c r="N135" i="2"/>
  <c r="M135" i="2"/>
  <c r="L135" i="2"/>
  <c r="K135" i="2"/>
  <c r="J135" i="2"/>
  <c r="I135" i="2"/>
  <c r="F135" i="2"/>
  <c r="E135" i="2"/>
  <c r="D135" i="2"/>
  <c r="C135" i="2"/>
  <c r="T133" i="2"/>
  <c r="S133" i="2"/>
  <c r="R133" i="2"/>
  <c r="Q133" i="2"/>
  <c r="P133" i="2"/>
  <c r="O133" i="2"/>
  <c r="N133" i="2"/>
  <c r="M133" i="2"/>
  <c r="L133" i="2"/>
  <c r="K133" i="2"/>
  <c r="J133" i="2"/>
  <c r="V133" i="2" s="1"/>
  <c r="I133" i="2"/>
  <c r="G133" i="2"/>
  <c r="F133" i="2"/>
  <c r="E133" i="2"/>
  <c r="D133" i="2"/>
  <c r="C133" i="2"/>
  <c r="T132" i="2"/>
  <c r="S132" i="2"/>
  <c r="R132" i="2"/>
  <c r="Q132" i="2"/>
  <c r="O132" i="2"/>
  <c r="N132" i="2"/>
  <c r="M132" i="2"/>
  <c r="L132" i="2"/>
  <c r="K132" i="2"/>
  <c r="J132" i="2"/>
  <c r="I132" i="2"/>
  <c r="F132" i="2"/>
  <c r="G132" i="2" s="1"/>
  <c r="T131" i="2"/>
  <c r="S131" i="2"/>
  <c r="R131" i="2"/>
  <c r="Q131" i="2"/>
  <c r="Q128" i="2" s="1"/>
  <c r="P131" i="2"/>
  <c r="O131" i="2"/>
  <c r="N131" i="2"/>
  <c r="M131" i="2"/>
  <c r="L131" i="2"/>
  <c r="K131" i="2"/>
  <c r="J131" i="2"/>
  <c r="I131" i="2"/>
  <c r="G131" i="2"/>
  <c r="F131" i="2"/>
  <c r="E131" i="2"/>
  <c r="D131" i="2"/>
  <c r="C131" i="2"/>
  <c r="T130" i="2"/>
  <c r="S130" i="2"/>
  <c r="S128" i="2" s="1"/>
  <c r="R130" i="2"/>
  <c r="Q130" i="2"/>
  <c r="P130" i="2"/>
  <c r="P128" i="2" s="1"/>
  <c r="O130" i="2"/>
  <c r="N130" i="2"/>
  <c r="M130" i="2"/>
  <c r="L130" i="2"/>
  <c r="K130" i="2"/>
  <c r="K128" i="2" s="1"/>
  <c r="J130" i="2"/>
  <c r="I130" i="2"/>
  <c r="G130" i="2"/>
  <c r="F130" i="2"/>
  <c r="E130" i="2"/>
  <c r="D130" i="2"/>
  <c r="C130" i="2"/>
  <c r="T129" i="2"/>
  <c r="T128" i="2" s="1"/>
  <c r="S129" i="2"/>
  <c r="R129" i="2"/>
  <c r="Q129" i="2"/>
  <c r="P129" i="2"/>
  <c r="O129" i="2"/>
  <c r="N129" i="2"/>
  <c r="M129" i="2"/>
  <c r="M128" i="2" s="1"/>
  <c r="L129" i="2"/>
  <c r="L128" i="2" s="1"/>
  <c r="K129" i="2"/>
  <c r="J129" i="2"/>
  <c r="J128" i="2" s="1"/>
  <c r="I129" i="2"/>
  <c r="F129" i="2"/>
  <c r="E129" i="2"/>
  <c r="D129" i="2"/>
  <c r="D128" i="2" s="1"/>
  <c r="C129" i="2"/>
  <c r="C128" i="2" s="1"/>
  <c r="O128" i="2"/>
  <c r="N128" i="2"/>
  <c r="F128" i="2"/>
  <c r="G128" i="2" s="1"/>
  <c r="E128" i="2"/>
  <c r="T127" i="2"/>
  <c r="S127" i="2"/>
  <c r="R127" i="2"/>
  <c r="Q127" i="2"/>
  <c r="P127" i="2"/>
  <c r="O127" i="2"/>
  <c r="N127" i="2"/>
  <c r="M127" i="2"/>
  <c r="L127" i="2"/>
  <c r="K127" i="2"/>
  <c r="J127" i="2"/>
  <c r="I127" i="2"/>
  <c r="V127" i="2" s="1"/>
  <c r="G127" i="2"/>
  <c r="F127" i="2"/>
  <c r="E127" i="2"/>
  <c r="D127" i="2"/>
  <c r="C127" i="2"/>
  <c r="T126" i="2"/>
  <c r="S126" i="2"/>
  <c r="R126" i="2"/>
  <c r="Q126" i="2"/>
  <c r="P126" i="2"/>
  <c r="O126" i="2"/>
  <c r="N126" i="2"/>
  <c r="M126" i="2"/>
  <c r="L126" i="2"/>
  <c r="K126" i="2"/>
  <c r="J126" i="2"/>
  <c r="V126" i="2" s="1"/>
  <c r="I126" i="2"/>
  <c r="G126" i="2"/>
  <c r="F126" i="2"/>
  <c r="E126" i="2"/>
  <c r="D126" i="2"/>
  <c r="C126" i="2"/>
  <c r="T125" i="2"/>
  <c r="S125" i="2"/>
  <c r="R125" i="2"/>
  <c r="Q125" i="2"/>
  <c r="P125" i="2"/>
  <c r="O125" i="2"/>
  <c r="N125" i="2"/>
  <c r="M125" i="2"/>
  <c r="L125" i="2"/>
  <c r="V125" i="2" s="1"/>
  <c r="K125" i="2"/>
  <c r="J125" i="2"/>
  <c r="I125" i="2"/>
  <c r="F125" i="2"/>
  <c r="G125" i="2" s="1"/>
  <c r="E125" i="2"/>
  <c r="D125" i="2"/>
  <c r="C125" i="2"/>
  <c r="T124" i="2"/>
  <c r="S124" i="2"/>
  <c r="R124" i="2"/>
  <c r="Q124" i="2"/>
  <c r="P124" i="2"/>
  <c r="O124" i="2"/>
  <c r="N124" i="2"/>
  <c r="M124" i="2"/>
  <c r="L124" i="2"/>
  <c r="K124" i="2"/>
  <c r="J124" i="2"/>
  <c r="I124" i="2"/>
  <c r="V124" i="2" s="1"/>
  <c r="F124" i="2"/>
  <c r="G124" i="2" s="1"/>
  <c r="E124" i="2"/>
  <c r="D124" i="2"/>
  <c r="C124" i="2"/>
  <c r="T123" i="2"/>
  <c r="S123" i="2"/>
  <c r="R123" i="2"/>
  <c r="Q123" i="2"/>
  <c r="P123" i="2"/>
  <c r="O123" i="2"/>
  <c r="N123" i="2"/>
  <c r="M123" i="2"/>
  <c r="L123" i="2"/>
  <c r="K123" i="2"/>
  <c r="J123" i="2"/>
  <c r="I123" i="2"/>
  <c r="G123" i="2"/>
  <c r="F123" i="2"/>
  <c r="E123" i="2"/>
  <c r="D123" i="2"/>
  <c r="C123" i="2"/>
  <c r="T122" i="2"/>
  <c r="S122" i="2"/>
  <c r="R122" i="2"/>
  <c r="Q122" i="2"/>
  <c r="P122" i="2"/>
  <c r="O122" i="2"/>
  <c r="N122" i="2"/>
  <c r="M122" i="2"/>
  <c r="L122" i="2"/>
  <c r="K122" i="2"/>
  <c r="J122" i="2"/>
  <c r="V122" i="2" s="1"/>
  <c r="I122" i="2"/>
  <c r="G122" i="2"/>
  <c r="F122" i="2"/>
  <c r="E122" i="2"/>
  <c r="D122" i="2"/>
  <c r="C122" i="2"/>
  <c r="T121" i="2"/>
  <c r="S121" i="2"/>
  <c r="R121" i="2"/>
  <c r="Q121" i="2"/>
  <c r="P121" i="2"/>
  <c r="O121" i="2"/>
  <c r="N121" i="2"/>
  <c r="M121" i="2"/>
  <c r="L121" i="2"/>
  <c r="V121" i="2" s="1"/>
  <c r="K121" i="2"/>
  <c r="J121" i="2"/>
  <c r="I121" i="2"/>
  <c r="F121" i="2"/>
  <c r="E121" i="2"/>
  <c r="D121" i="2"/>
  <c r="D113" i="2" s="1"/>
  <c r="C121" i="2"/>
  <c r="T120" i="2"/>
  <c r="S120" i="2"/>
  <c r="R120" i="2"/>
  <c r="Q120" i="2"/>
  <c r="P120" i="2"/>
  <c r="O120" i="2"/>
  <c r="N120" i="2"/>
  <c r="M120" i="2"/>
  <c r="K120" i="2"/>
  <c r="J120" i="2"/>
  <c r="F120" i="2"/>
  <c r="G120" i="2" s="1"/>
  <c r="E120" i="2"/>
  <c r="D120" i="2"/>
  <c r="C120" i="2"/>
  <c r="T119" i="2"/>
  <c r="S119" i="2"/>
  <c r="R119" i="2"/>
  <c r="Q119" i="2"/>
  <c r="P119" i="2"/>
  <c r="O119" i="2"/>
  <c r="N119" i="2"/>
  <c r="M119" i="2"/>
  <c r="L119" i="2"/>
  <c r="K119" i="2"/>
  <c r="J119" i="2"/>
  <c r="I119" i="2"/>
  <c r="V119" i="2" s="1"/>
  <c r="G119" i="2"/>
  <c r="F119" i="2"/>
  <c r="E119" i="2"/>
  <c r="D119" i="2"/>
  <c r="C119" i="2"/>
  <c r="T118" i="2"/>
  <c r="S118" i="2"/>
  <c r="R118" i="2"/>
  <c r="Q118" i="2"/>
  <c r="P118" i="2"/>
  <c r="O118" i="2"/>
  <c r="N118" i="2"/>
  <c r="M118" i="2"/>
  <c r="L118" i="2"/>
  <c r="K118" i="2"/>
  <c r="J118" i="2"/>
  <c r="V118" i="2" s="1"/>
  <c r="I118" i="2"/>
  <c r="G118" i="2"/>
  <c r="F118" i="2"/>
  <c r="E118" i="2"/>
  <c r="D118" i="2"/>
  <c r="C118" i="2"/>
  <c r="T117" i="2"/>
  <c r="T113" i="2" s="1"/>
  <c r="S117" i="2"/>
  <c r="R117" i="2"/>
  <c r="Q117" i="2"/>
  <c r="P117" i="2"/>
  <c r="O117" i="2"/>
  <c r="N117" i="2"/>
  <c r="M117" i="2"/>
  <c r="M113" i="2" s="1"/>
  <c r="L117" i="2"/>
  <c r="V117" i="2" s="1"/>
  <c r="K117" i="2"/>
  <c r="J117" i="2"/>
  <c r="I117" i="2"/>
  <c r="F117" i="2"/>
  <c r="E117" i="2"/>
  <c r="D117" i="2"/>
  <c r="C117" i="2"/>
  <c r="T116" i="2"/>
  <c r="S116" i="2"/>
  <c r="R116" i="2"/>
  <c r="Q116" i="2"/>
  <c r="P116" i="2"/>
  <c r="O116" i="2"/>
  <c r="N116" i="2"/>
  <c r="M116" i="2"/>
  <c r="L116" i="2"/>
  <c r="K116" i="2"/>
  <c r="J116" i="2"/>
  <c r="I116" i="2"/>
  <c r="F116" i="2"/>
  <c r="E116" i="2"/>
  <c r="D116" i="2"/>
  <c r="C116" i="2"/>
  <c r="T115" i="2"/>
  <c r="S115" i="2"/>
  <c r="R115" i="2"/>
  <c r="Q115" i="2"/>
  <c r="P115" i="2"/>
  <c r="O115" i="2"/>
  <c r="N115" i="2"/>
  <c r="M115" i="2"/>
  <c r="L115" i="2"/>
  <c r="K115" i="2"/>
  <c r="J115" i="2"/>
  <c r="I115" i="2"/>
  <c r="G115" i="2"/>
  <c r="F115" i="2"/>
  <c r="E115" i="2"/>
  <c r="D115" i="2"/>
  <c r="C115" i="2"/>
  <c r="T114" i="2"/>
  <c r="S114" i="2"/>
  <c r="R114" i="2"/>
  <c r="Q114" i="2"/>
  <c r="P114" i="2"/>
  <c r="O114" i="2"/>
  <c r="N114" i="2"/>
  <c r="M114" i="2"/>
  <c r="L114" i="2"/>
  <c r="K114" i="2"/>
  <c r="J114" i="2"/>
  <c r="I114" i="2"/>
  <c r="G114" i="2"/>
  <c r="F114" i="2"/>
  <c r="E114" i="2"/>
  <c r="D114" i="2"/>
  <c r="C114" i="2"/>
  <c r="C113" i="2"/>
  <c r="T112" i="2"/>
  <c r="S112" i="2"/>
  <c r="R112" i="2"/>
  <c r="Q112" i="2"/>
  <c r="P112" i="2"/>
  <c r="O112" i="2"/>
  <c r="N112" i="2"/>
  <c r="M112" i="2"/>
  <c r="L112" i="2"/>
  <c r="K112" i="2"/>
  <c r="J112" i="2"/>
  <c r="G112" i="2"/>
  <c r="F112" i="2"/>
  <c r="E112" i="2"/>
  <c r="D112" i="2"/>
  <c r="C112" i="2"/>
  <c r="T111" i="2"/>
  <c r="S111" i="2"/>
  <c r="R111" i="2"/>
  <c r="Q111" i="2"/>
  <c r="P111" i="2"/>
  <c r="O111" i="2"/>
  <c r="N111" i="2"/>
  <c r="M111" i="2"/>
  <c r="L111" i="2"/>
  <c r="K111" i="2"/>
  <c r="J111" i="2"/>
  <c r="I111" i="2"/>
  <c r="G111" i="2"/>
  <c r="F111" i="2"/>
  <c r="E111" i="2"/>
  <c r="D111" i="2"/>
  <c r="C111" i="2"/>
  <c r="T110" i="2"/>
  <c r="S110" i="2"/>
  <c r="R110" i="2"/>
  <c r="Q110" i="2"/>
  <c r="P110" i="2"/>
  <c r="O110" i="2"/>
  <c r="N110" i="2"/>
  <c r="M110" i="2"/>
  <c r="L110" i="2"/>
  <c r="K110" i="2"/>
  <c r="J110" i="2"/>
  <c r="I110" i="2"/>
  <c r="V110" i="2" s="1"/>
  <c r="F110" i="2"/>
  <c r="G110" i="2" s="1"/>
  <c r="E110" i="2"/>
  <c r="D110" i="2"/>
  <c r="C110" i="2"/>
  <c r="T109" i="2"/>
  <c r="S109" i="2"/>
  <c r="R109" i="2"/>
  <c r="Q109" i="2"/>
  <c r="P109" i="2"/>
  <c r="O109" i="2"/>
  <c r="N109" i="2"/>
  <c r="M109" i="2"/>
  <c r="L109" i="2"/>
  <c r="L105" i="2" s="1"/>
  <c r="K109" i="2"/>
  <c r="J109" i="2"/>
  <c r="I109" i="2"/>
  <c r="V109" i="2" s="1"/>
  <c r="F109" i="2"/>
  <c r="E109" i="2"/>
  <c r="D109" i="2"/>
  <c r="C109" i="2"/>
  <c r="T108" i="2"/>
  <c r="S108" i="2"/>
  <c r="R108" i="2"/>
  <c r="Q108" i="2"/>
  <c r="P108" i="2"/>
  <c r="O108" i="2"/>
  <c r="N108" i="2"/>
  <c r="N105" i="2" s="1"/>
  <c r="M108" i="2"/>
  <c r="V108" i="2" s="1"/>
  <c r="L108" i="2"/>
  <c r="K108" i="2"/>
  <c r="J108" i="2"/>
  <c r="I108" i="2"/>
  <c r="G108" i="2"/>
  <c r="F108" i="2"/>
  <c r="E108" i="2"/>
  <c r="E105" i="2" s="1"/>
  <c r="D108" i="2"/>
  <c r="C108" i="2"/>
  <c r="T107" i="2"/>
  <c r="S107" i="2"/>
  <c r="R107" i="2"/>
  <c r="Q107" i="2"/>
  <c r="P107" i="2"/>
  <c r="P105" i="2" s="1"/>
  <c r="O107" i="2"/>
  <c r="N107" i="2"/>
  <c r="M107" i="2"/>
  <c r="L107" i="2"/>
  <c r="K107" i="2"/>
  <c r="J107" i="2"/>
  <c r="I107" i="2"/>
  <c r="F107" i="2"/>
  <c r="G107" i="2" s="1"/>
  <c r="E107" i="2"/>
  <c r="D107" i="2"/>
  <c r="C107" i="2"/>
  <c r="T106" i="2"/>
  <c r="S106" i="2"/>
  <c r="R106" i="2"/>
  <c r="R105" i="2" s="1"/>
  <c r="Q106" i="2"/>
  <c r="Q105" i="2" s="1"/>
  <c r="P106" i="2"/>
  <c r="O106" i="2"/>
  <c r="N106" i="2"/>
  <c r="M106" i="2"/>
  <c r="L106" i="2"/>
  <c r="K106" i="2"/>
  <c r="J106" i="2"/>
  <c r="J105" i="2" s="1"/>
  <c r="I106" i="2"/>
  <c r="F106" i="2"/>
  <c r="G106" i="2" s="1"/>
  <c r="E106" i="2"/>
  <c r="D106" i="2"/>
  <c r="C106" i="2"/>
  <c r="T105" i="2"/>
  <c r="S105" i="2"/>
  <c r="K105" i="2"/>
  <c r="C105" i="2"/>
  <c r="T104" i="2"/>
  <c r="R104" i="2"/>
  <c r="M104" i="2"/>
  <c r="L104" i="2"/>
  <c r="G104" i="2"/>
  <c r="F104" i="2"/>
  <c r="E104" i="2"/>
  <c r="D104" i="2"/>
  <c r="C104" i="2"/>
  <c r="T103" i="2"/>
  <c r="S103" i="2"/>
  <c r="R103" i="2"/>
  <c r="Q103" i="2"/>
  <c r="P103" i="2"/>
  <c r="O103" i="2"/>
  <c r="N103" i="2"/>
  <c r="M103" i="2"/>
  <c r="L103" i="2"/>
  <c r="K103" i="2"/>
  <c r="J103" i="2"/>
  <c r="I103" i="2"/>
  <c r="G103" i="2"/>
  <c r="F103" i="2"/>
  <c r="E103" i="2"/>
  <c r="D103" i="2"/>
  <c r="C103" i="2"/>
  <c r="T102" i="2"/>
  <c r="S102" i="2"/>
  <c r="R102" i="2"/>
  <c r="Q102" i="2"/>
  <c r="P102" i="2"/>
  <c r="O102" i="2"/>
  <c r="N102" i="2"/>
  <c r="M102" i="2"/>
  <c r="L102" i="2"/>
  <c r="K102" i="2"/>
  <c r="J102" i="2"/>
  <c r="I102" i="2"/>
  <c r="F102" i="2"/>
  <c r="G102" i="2" s="1"/>
  <c r="E102" i="2"/>
  <c r="D102" i="2"/>
  <c r="C102" i="2"/>
  <c r="T101" i="2"/>
  <c r="S101" i="2"/>
  <c r="R101" i="2"/>
  <c r="Q101" i="2"/>
  <c r="O101" i="2"/>
  <c r="L101" i="2"/>
  <c r="K101" i="2"/>
  <c r="J101" i="2"/>
  <c r="I101" i="2"/>
  <c r="F101" i="2"/>
  <c r="E101" i="2"/>
  <c r="D101" i="2"/>
  <c r="C101" i="2"/>
  <c r="T100" i="2"/>
  <c r="S100" i="2"/>
  <c r="R100" i="2"/>
  <c r="Q100" i="2"/>
  <c r="P100" i="2"/>
  <c r="O100" i="2"/>
  <c r="N100" i="2"/>
  <c r="M100" i="2"/>
  <c r="L100" i="2"/>
  <c r="K100" i="2"/>
  <c r="J100" i="2"/>
  <c r="I100" i="2"/>
  <c r="G100" i="2"/>
  <c r="F100" i="2"/>
  <c r="E100" i="2"/>
  <c r="D100" i="2"/>
  <c r="C100" i="2"/>
  <c r="T98" i="2"/>
  <c r="S98" i="2"/>
  <c r="R98" i="2"/>
  <c r="R95" i="2" s="1"/>
  <c r="Q98" i="2"/>
  <c r="P98" i="2"/>
  <c r="O98" i="2"/>
  <c r="N98" i="2"/>
  <c r="M98" i="2"/>
  <c r="L98" i="2"/>
  <c r="K98" i="2"/>
  <c r="J98" i="2"/>
  <c r="J95" i="2" s="1"/>
  <c r="I98" i="2"/>
  <c r="F98" i="2"/>
  <c r="G98" i="2" s="1"/>
  <c r="E98" i="2"/>
  <c r="D98" i="2"/>
  <c r="C98" i="2"/>
  <c r="T97" i="2"/>
  <c r="T95" i="2" s="1"/>
  <c r="S97" i="2"/>
  <c r="R97" i="2"/>
  <c r="Q97" i="2"/>
  <c r="Q95" i="2" s="1"/>
  <c r="P97" i="2"/>
  <c r="O97" i="2"/>
  <c r="N97" i="2"/>
  <c r="M97" i="2"/>
  <c r="L97" i="2"/>
  <c r="L95" i="2" s="1"/>
  <c r="K97" i="2"/>
  <c r="J97" i="2"/>
  <c r="I97" i="2"/>
  <c r="F97" i="2"/>
  <c r="E97" i="2"/>
  <c r="D97" i="2"/>
  <c r="C97" i="2"/>
  <c r="C95" i="2" s="1"/>
  <c r="G95" i="2" s="1"/>
  <c r="V96" i="2"/>
  <c r="T96" i="2"/>
  <c r="S96" i="2"/>
  <c r="R96" i="2"/>
  <c r="Q96" i="2"/>
  <c r="P96" i="2"/>
  <c r="O96" i="2"/>
  <c r="N96" i="2"/>
  <c r="N95" i="2" s="1"/>
  <c r="M96" i="2"/>
  <c r="M95" i="2" s="1"/>
  <c r="L96" i="2"/>
  <c r="K96" i="2"/>
  <c r="J96" i="2"/>
  <c r="I96" i="2"/>
  <c r="G96" i="2"/>
  <c r="F96" i="2"/>
  <c r="E96" i="2"/>
  <c r="E95" i="2" s="1"/>
  <c r="D96" i="2"/>
  <c r="D95" i="2" s="1"/>
  <c r="C96" i="2"/>
  <c r="P95" i="2"/>
  <c r="O95" i="2"/>
  <c r="F95" i="2"/>
  <c r="T94" i="2"/>
  <c r="S94" i="2"/>
  <c r="R94" i="2"/>
  <c r="R86" i="2" s="1"/>
  <c r="Q94" i="2"/>
  <c r="P94" i="2"/>
  <c r="O94" i="2"/>
  <c r="N94" i="2"/>
  <c r="M94" i="2"/>
  <c r="L94" i="2"/>
  <c r="K94" i="2"/>
  <c r="J94" i="2"/>
  <c r="J86" i="2" s="1"/>
  <c r="I94" i="2"/>
  <c r="F94" i="2"/>
  <c r="G94" i="2" s="1"/>
  <c r="E94" i="2"/>
  <c r="D94" i="2"/>
  <c r="C94" i="2"/>
  <c r="T93" i="2"/>
  <c r="S93" i="2"/>
  <c r="R93" i="2"/>
  <c r="Q93" i="2"/>
  <c r="P93" i="2"/>
  <c r="O93" i="2"/>
  <c r="N93" i="2"/>
  <c r="M93" i="2"/>
  <c r="L93" i="2"/>
  <c r="K93" i="2"/>
  <c r="J93" i="2"/>
  <c r="I93" i="2"/>
  <c r="F93" i="2"/>
  <c r="E93" i="2"/>
  <c r="D93" i="2"/>
  <c r="C93" i="2"/>
  <c r="T92" i="2"/>
  <c r="S92" i="2"/>
  <c r="R92" i="2"/>
  <c r="Q92" i="2"/>
  <c r="P92" i="2"/>
  <c r="O92" i="2"/>
  <c r="N92" i="2"/>
  <c r="M92" i="2"/>
  <c r="V92" i="2" s="1"/>
  <c r="L92" i="2"/>
  <c r="K92" i="2"/>
  <c r="J92" i="2"/>
  <c r="I92" i="2"/>
  <c r="G92" i="2"/>
  <c r="F92" i="2"/>
  <c r="E92" i="2"/>
  <c r="D92" i="2"/>
  <c r="C92" i="2"/>
  <c r="T91" i="2"/>
  <c r="S91" i="2"/>
  <c r="R91" i="2"/>
  <c r="Q91" i="2"/>
  <c r="P91" i="2"/>
  <c r="O91" i="2"/>
  <c r="N91" i="2"/>
  <c r="M91" i="2"/>
  <c r="L91" i="2"/>
  <c r="K91" i="2"/>
  <c r="J91" i="2"/>
  <c r="I91" i="2"/>
  <c r="G91" i="2"/>
  <c r="F91" i="2"/>
  <c r="E91" i="2"/>
  <c r="D91" i="2"/>
  <c r="C91" i="2"/>
  <c r="T90" i="2"/>
  <c r="S90" i="2"/>
  <c r="R90" i="2"/>
  <c r="Q90" i="2"/>
  <c r="P90" i="2"/>
  <c r="O90" i="2"/>
  <c r="N90" i="2"/>
  <c r="M90" i="2"/>
  <c r="L90" i="2"/>
  <c r="K90" i="2"/>
  <c r="J90" i="2"/>
  <c r="I90" i="2"/>
  <c r="V90" i="2" s="1"/>
  <c r="F90" i="2"/>
  <c r="G90" i="2" s="1"/>
  <c r="E90" i="2"/>
  <c r="D90" i="2"/>
  <c r="C90" i="2"/>
  <c r="T89" i="2"/>
  <c r="T86" i="2" s="1"/>
  <c r="S89" i="2"/>
  <c r="R89" i="2"/>
  <c r="Q89" i="2"/>
  <c r="P89" i="2"/>
  <c r="O89" i="2"/>
  <c r="N89" i="2"/>
  <c r="M89" i="2"/>
  <c r="L89" i="2"/>
  <c r="L86" i="2" s="1"/>
  <c r="K89" i="2"/>
  <c r="J89" i="2"/>
  <c r="I89" i="2"/>
  <c r="V89" i="2" s="1"/>
  <c r="F89" i="2"/>
  <c r="E89" i="2"/>
  <c r="D89" i="2"/>
  <c r="C89" i="2"/>
  <c r="C86" i="2" s="1"/>
  <c r="T88" i="2"/>
  <c r="S88" i="2"/>
  <c r="R88" i="2"/>
  <c r="Q88" i="2"/>
  <c r="P88" i="2"/>
  <c r="O88" i="2"/>
  <c r="N88" i="2"/>
  <c r="N86" i="2" s="1"/>
  <c r="M88" i="2"/>
  <c r="V88" i="2" s="1"/>
  <c r="L88" i="2"/>
  <c r="K88" i="2"/>
  <c r="J88" i="2"/>
  <c r="I88" i="2"/>
  <c r="G88" i="2"/>
  <c r="F88" i="2"/>
  <c r="E88" i="2"/>
  <c r="E86" i="2" s="1"/>
  <c r="D88" i="2"/>
  <c r="C88" i="2"/>
  <c r="T87" i="2"/>
  <c r="S87" i="2"/>
  <c r="R87" i="2"/>
  <c r="Q87" i="2"/>
  <c r="P87" i="2"/>
  <c r="P86" i="2" s="1"/>
  <c r="O87" i="2"/>
  <c r="O86" i="2" s="1"/>
  <c r="N87" i="2"/>
  <c r="M87" i="2"/>
  <c r="L87" i="2"/>
  <c r="K87" i="2"/>
  <c r="J87" i="2"/>
  <c r="I87" i="2"/>
  <c r="F87" i="2"/>
  <c r="F86" i="2" s="1"/>
  <c r="G86" i="2" s="1"/>
  <c r="E87" i="2"/>
  <c r="D87" i="2"/>
  <c r="C87" i="2"/>
  <c r="Q86" i="2"/>
  <c r="I86" i="2"/>
  <c r="T85" i="2"/>
  <c r="T56" i="2" s="1"/>
  <c r="S85" i="2"/>
  <c r="R85" i="2"/>
  <c r="Q85" i="2"/>
  <c r="P85" i="2"/>
  <c r="O85" i="2"/>
  <c r="N85" i="2"/>
  <c r="M85" i="2"/>
  <c r="L85" i="2"/>
  <c r="K85" i="2"/>
  <c r="J85" i="2"/>
  <c r="I85" i="2"/>
  <c r="F85" i="2"/>
  <c r="E85" i="2"/>
  <c r="D85" i="2"/>
  <c r="C85" i="2"/>
  <c r="T84" i="2"/>
  <c r="S84" i="2"/>
  <c r="R84" i="2"/>
  <c r="Q84" i="2"/>
  <c r="P84" i="2"/>
  <c r="O84" i="2"/>
  <c r="N84" i="2"/>
  <c r="M84" i="2"/>
  <c r="V84" i="2" s="1"/>
  <c r="L84" i="2"/>
  <c r="K84" i="2"/>
  <c r="J84" i="2"/>
  <c r="I84" i="2"/>
  <c r="G84" i="2"/>
  <c r="F84" i="2"/>
  <c r="E84" i="2"/>
  <c r="D84" i="2"/>
  <c r="C84" i="2"/>
  <c r="T83" i="2"/>
  <c r="S83" i="2"/>
  <c r="R83" i="2"/>
  <c r="Q83" i="2"/>
  <c r="P83" i="2"/>
  <c r="O83" i="2"/>
  <c r="N83" i="2"/>
  <c r="M83" i="2"/>
  <c r="L83" i="2"/>
  <c r="K83" i="2"/>
  <c r="J83" i="2"/>
  <c r="I83" i="2"/>
  <c r="F83" i="2"/>
  <c r="G83" i="2" s="1"/>
  <c r="E83" i="2"/>
  <c r="D83" i="2"/>
  <c r="C83" i="2"/>
  <c r="T82" i="2"/>
  <c r="S82" i="2"/>
  <c r="R82" i="2"/>
  <c r="Q82" i="2"/>
  <c r="P82" i="2"/>
  <c r="O82" i="2"/>
  <c r="N82" i="2"/>
  <c r="M82" i="2"/>
  <c r="L82" i="2"/>
  <c r="K82" i="2"/>
  <c r="J82" i="2"/>
  <c r="I82" i="2"/>
  <c r="F82" i="2"/>
  <c r="G82" i="2" s="1"/>
  <c r="E82" i="2"/>
  <c r="D82" i="2"/>
  <c r="C82" i="2"/>
  <c r="T81" i="2"/>
  <c r="S81" i="2"/>
  <c r="R81" i="2"/>
  <c r="Q81" i="2"/>
  <c r="P81" i="2"/>
  <c r="O81" i="2"/>
  <c r="N81" i="2"/>
  <c r="M81" i="2"/>
  <c r="L81" i="2"/>
  <c r="K81" i="2"/>
  <c r="J81" i="2"/>
  <c r="I81" i="2"/>
  <c r="F81" i="2"/>
  <c r="G81" i="2" s="1"/>
  <c r="E81" i="2"/>
  <c r="D81" i="2"/>
  <c r="C81" i="2"/>
  <c r="R80" i="2"/>
  <c r="Q80" i="2"/>
  <c r="P80" i="2"/>
  <c r="O80" i="2"/>
  <c r="N80" i="2"/>
  <c r="M80" i="2"/>
  <c r="L80" i="2"/>
  <c r="K80" i="2"/>
  <c r="V80" i="2" s="1"/>
  <c r="J80" i="2"/>
  <c r="I80" i="2"/>
  <c r="F80" i="2"/>
  <c r="E80" i="2"/>
  <c r="D80" i="2"/>
  <c r="C80" i="2"/>
  <c r="T79" i="2"/>
  <c r="S79" i="2"/>
  <c r="R79" i="2"/>
  <c r="Q79" i="2"/>
  <c r="P79" i="2"/>
  <c r="O79" i="2"/>
  <c r="N79" i="2"/>
  <c r="M79" i="2"/>
  <c r="V79" i="2" s="1"/>
  <c r="L79" i="2"/>
  <c r="K79" i="2"/>
  <c r="J79" i="2"/>
  <c r="I79" i="2"/>
  <c r="G79" i="2"/>
  <c r="F79" i="2"/>
  <c r="E79" i="2"/>
  <c r="D79" i="2"/>
  <c r="C79" i="2"/>
  <c r="T78" i="2"/>
  <c r="S78" i="2"/>
  <c r="R78" i="2"/>
  <c r="Q78" i="2"/>
  <c r="P78" i="2"/>
  <c r="O78" i="2"/>
  <c r="N78" i="2"/>
  <c r="M78" i="2"/>
  <c r="L78" i="2"/>
  <c r="K78" i="2"/>
  <c r="J78" i="2"/>
  <c r="I78" i="2"/>
  <c r="G78" i="2"/>
  <c r="F78" i="2"/>
  <c r="E78" i="2"/>
  <c r="D78" i="2"/>
  <c r="C78" i="2"/>
  <c r="T77" i="2"/>
  <c r="R77" i="2"/>
  <c r="Q77" i="2"/>
  <c r="P77" i="2"/>
  <c r="O77" i="2"/>
  <c r="N77" i="2"/>
  <c r="M77" i="2"/>
  <c r="L77" i="2"/>
  <c r="J77" i="2"/>
  <c r="I77" i="2"/>
  <c r="F77" i="2"/>
  <c r="G77" i="2" s="1"/>
  <c r="E77" i="2"/>
  <c r="D77" i="2"/>
  <c r="C77" i="2"/>
  <c r="T76" i="2"/>
  <c r="S76" i="2"/>
  <c r="R76" i="2"/>
  <c r="Q76" i="2"/>
  <c r="P76" i="2"/>
  <c r="O76" i="2"/>
  <c r="N76" i="2"/>
  <c r="M76" i="2"/>
  <c r="L76" i="2"/>
  <c r="K76" i="2"/>
  <c r="J76" i="2"/>
  <c r="I76" i="2"/>
  <c r="F76" i="2"/>
  <c r="G76" i="2" s="1"/>
  <c r="E76" i="2"/>
  <c r="D76" i="2"/>
  <c r="C76" i="2"/>
  <c r="T75" i="2"/>
  <c r="S75" i="2"/>
  <c r="R75" i="2"/>
  <c r="Q75" i="2"/>
  <c r="P75" i="2"/>
  <c r="O75" i="2"/>
  <c r="N75" i="2"/>
  <c r="M75" i="2"/>
  <c r="V75" i="2" s="1"/>
  <c r="L75" i="2"/>
  <c r="K75" i="2"/>
  <c r="J75" i="2"/>
  <c r="I75" i="2"/>
  <c r="G75" i="2"/>
  <c r="F75" i="2"/>
  <c r="E75" i="2"/>
  <c r="D75" i="2"/>
  <c r="C75" i="2"/>
  <c r="T74" i="2"/>
  <c r="S74" i="2"/>
  <c r="R74" i="2"/>
  <c r="Q74" i="2"/>
  <c r="P74" i="2"/>
  <c r="O74" i="2"/>
  <c r="N74" i="2"/>
  <c r="M74" i="2"/>
  <c r="L74" i="2"/>
  <c r="K74" i="2"/>
  <c r="J74" i="2"/>
  <c r="V74" i="2" s="1"/>
  <c r="I74" i="2"/>
  <c r="G74" i="2"/>
  <c r="F74" i="2"/>
  <c r="E74" i="2"/>
  <c r="D74" i="2"/>
  <c r="C74" i="2"/>
  <c r="U73" i="2"/>
  <c r="T73" i="2"/>
  <c r="S73" i="2"/>
  <c r="R73" i="2"/>
  <c r="Q73" i="2"/>
  <c r="P73" i="2"/>
  <c r="O73" i="2"/>
  <c r="N73" i="2"/>
  <c r="M73" i="2"/>
  <c r="L73" i="2"/>
  <c r="K73" i="2"/>
  <c r="J73" i="2"/>
  <c r="I73" i="2"/>
  <c r="G73" i="2"/>
  <c r="F73" i="2"/>
  <c r="E73" i="2"/>
  <c r="D73" i="2"/>
  <c r="C73" i="2"/>
  <c r="T72" i="2"/>
  <c r="S72" i="2"/>
  <c r="R72" i="2"/>
  <c r="P72" i="2"/>
  <c r="O72" i="2"/>
  <c r="N72" i="2"/>
  <c r="M72" i="2"/>
  <c r="L72" i="2"/>
  <c r="K72" i="2"/>
  <c r="J72" i="2"/>
  <c r="F72" i="2"/>
  <c r="E72" i="2"/>
  <c r="D72" i="2"/>
  <c r="C72" i="2"/>
  <c r="T71" i="2"/>
  <c r="S71" i="2"/>
  <c r="R71" i="2"/>
  <c r="Q71" i="2"/>
  <c r="P71" i="2"/>
  <c r="O71" i="2"/>
  <c r="N71" i="2"/>
  <c r="M71" i="2"/>
  <c r="L71" i="2"/>
  <c r="K71" i="2"/>
  <c r="J71" i="2"/>
  <c r="I71" i="2"/>
  <c r="F71" i="2"/>
  <c r="G71" i="2" s="1"/>
  <c r="E71" i="2"/>
  <c r="D71" i="2"/>
  <c r="C71" i="2"/>
  <c r="T70" i="2"/>
  <c r="S70" i="2"/>
  <c r="R70" i="2"/>
  <c r="Q70" i="2"/>
  <c r="P70" i="2"/>
  <c r="O70" i="2"/>
  <c r="N70" i="2"/>
  <c r="M70" i="2"/>
  <c r="K70" i="2"/>
  <c r="J70" i="2"/>
  <c r="I70" i="2"/>
  <c r="G70" i="2"/>
  <c r="F70" i="2"/>
  <c r="E70" i="2"/>
  <c r="D70" i="2"/>
  <c r="C70" i="2"/>
  <c r="T69" i="2"/>
  <c r="S69" i="2"/>
  <c r="R69" i="2"/>
  <c r="Q69" i="2"/>
  <c r="P69" i="2"/>
  <c r="O69" i="2"/>
  <c r="N69" i="2"/>
  <c r="M69" i="2"/>
  <c r="L69" i="2"/>
  <c r="K69" i="2"/>
  <c r="J69" i="2"/>
  <c r="I69" i="2"/>
  <c r="G69" i="2"/>
  <c r="F69" i="2"/>
  <c r="E69" i="2"/>
  <c r="D69" i="2"/>
  <c r="C69" i="2"/>
  <c r="T68" i="2"/>
  <c r="S68" i="2"/>
  <c r="R68" i="2"/>
  <c r="Q68" i="2"/>
  <c r="P68" i="2"/>
  <c r="O68" i="2"/>
  <c r="N68" i="2"/>
  <c r="M68" i="2"/>
  <c r="V68" i="2" s="1"/>
  <c r="L68" i="2"/>
  <c r="K68" i="2"/>
  <c r="J68" i="2"/>
  <c r="I68" i="2"/>
  <c r="F68" i="2"/>
  <c r="E68" i="2"/>
  <c r="D68" i="2"/>
  <c r="C68" i="2"/>
  <c r="T67" i="2"/>
  <c r="S67" i="2"/>
  <c r="R67" i="2"/>
  <c r="Q67" i="2"/>
  <c r="P67" i="2"/>
  <c r="O67" i="2"/>
  <c r="N67" i="2"/>
  <c r="M67" i="2"/>
  <c r="L67" i="2"/>
  <c r="K67" i="2"/>
  <c r="J67" i="2"/>
  <c r="I67" i="2"/>
  <c r="F67" i="2"/>
  <c r="G67" i="2" s="1"/>
  <c r="E67" i="2"/>
  <c r="D67" i="2"/>
  <c r="C67" i="2"/>
  <c r="T66" i="2"/>
  <c r="S66" i="2"/>
  <c r="R66" i="2"/>
  <c r="Q66" i="2"/>
  <c r="P66" i="2"/>
  <c r="O66" i="2"/>
  <c r="N66" i="2"/>
  <c r="M66" i="2"/>
  <c r="L66" i="2"/>
  <c r="K66" i="2"/>
  <c r="J66" i="2"/>
  <c r="I66" i="2"/>
  <c r="V66" i="2" s="1"/>
  <c r="G66" i="2"/>
  <c r="F66" i="2"/>
  <c r="E66" i="2"/>
  <c r="D66" i="2"/>
  <c r="C66" i="2"/>
  <c r="T65" i="2"/>
  <c r="S65" i="2"/>
  <c r="R65" i="2"/>
  <c r="Q65" i="2"/>
  <c r="P65" i="2"/>
  <c r="O65" i="2"/>
  <c r="N65" i="2"/>
  <c r="M65" i="2"/>
  <c r="L65" i="2"/>
  <c r="K65" i="2"/>
  <c r="J65" i="2"/>
  <c r="V65" i="2" s="1"/>
  <c r="I65" i="2"/>
  <c r="G65" i="2"/>
  <c r="F65" i="2"/>
  <c r="E65" i="2"/>
  <c r="D65" i="2"/>
  <c r="C65" i="2"/>
  <c r="T64" i="2"/>
  <c r="S64" i="2"/>
  <c r="R64" i="2"/>
  <c r="Q64" i="2"/>
  <c r="P64" i="2"/>
  <c r="O64" i="2"/>
  <c r="N64" i="2"/>
  <c r="M64" i="2"/>
  <c r="V64" i="2" s="1"/>
  <c r="L64" i="2"/>
  <c r="K64" i="2"/>
  <c r="J64" i="2"/>
  <c r="I64" i="2"/>
  <c r="F64" i="2"/>
  <c r="E64" i="2"/>
  <c r="D64" i="2"/>
  <c r="C64" i="2"/>
  <c r="T63" i="2"/>
  <c r="S63" i="2"/>
  <c r="R63" i="2"/>
  <c r="Q63" i="2"/>
  <c r="P63" i="2"/>
  <c r="O63" i="2"/>
  <c r="O56" i="2" s="1"/>
  <c r="O53" i="2" s="1"/>
  <c r="N63" i="2"/>
  <c r="M63" i="2"/>
  <c r="L63" i="2"/>
  <c r="K63" i="2"/>
  <c r="J63" i="2"/>
  <c r="I63" i="2"/>
  <c r="V63" i="2" s="1"/>
  <c r="F63" i="2"/>
  <c r="G63" i="2" s="1"/>
  <c r="E63" i="2"/>
  <c r="D63" i="2"/>
  <c r="C63" i="2"/>
  <c r="T62" i="2"/>
  <c r="S62" i="2"/>
  <c r="R62" i="2"/>
  <c r="Q62" i="2"/>
  <c r="P62" i="2"/>
  <c r="O62" i="2"/>
  <c r="N62" i="2"/>
  <c r="M62" i="2"/>
  <c r="L62" i="2"/>
  <c r="K62" i="2"/>
  <c r="J62" i="2"/>
  <c r="I62" i="2"/>
  <c r="V62" i="2" s="1"/>
  <c r="G62" i="2"/>
  <c r="F62" i="2"/>
  <c r="E62" i="2"/>
  <c r="D62" i="2"/>
  <c r="C62" i="2"/>
  <c r="T61" i="2"/>
  <c r="S61" i="2"/>
  <c r="R61" i="2"/>
  <c r="Q61" i="2"/>
  <c r="P61" i="2"/>
  <c r="O61" i="2"/>
  <c r="N61" i="2"/>
  <c r="M61" i="2"/>
  <c r="L61" i="2"/>
  <c r="K61" i="2"/>
  <c r="J61" i="2"/>
  <c r="V61" i="2" s="1"/>
  <c r="I61" i="2"/>
  <c r="G61" i="2"/>
  <c r="F61" i="2"/>
  <c r="E61" i="2"/>
  <c r="D61" i="2"/>
  <c r="C61" i="2"/>
  <c r="T60" i="2"/>
  <c r="S60" i="2"/>
  <c r="R60" i="2"/>
  <c r="Q60" i="2"/>
  <c r="P60" i="2"/>
  <c r="O60" i="2"/>
  <c r="N60" i="2"/>
  <c r="M60" i="2"/>
  <c r="M56" i="2" s="1"/>
  <c r="M53" i="2" s="1"/>
  <c r="L60" i="2"/>
  <c r="K60" i="2"/>
  <c r="J60" i="2"/>
  <c r="I60" i="2"/>
  <c r="F60" i="2"/>
  <c r="E60" i="2"/>
  <c r="D60" i="2"/>
  <c r="D56" i="2" s="1"/>
  <c r="D53" i="2" s="1"/>
  <c r="C60" i="2"/>
  <c r="C56" i="2" s="1"/>
  <c r="T59" i="2"/>
  <c r="S59" i="2"/>
  <c r="R59" i="2"/>
  <c r="Q59" i="2"/>
  <c r="P59" i="2"/>
  <c r="O59" i="2"/>
  <c r="N59" i="2"/>
  <c r="M59" i="2"/>
  <c r="L59" i="2"/>
  <c r="K59" i="2"/>
  <c r="J59" i="2"/>
  <c r="I59" i="2"/>
  <c r="F59" i="2"/>
  <c r="G59" i="2" s="1"/>
  <c r="E59" i="2"/>
  <c r="D59" i="2"/>
  <c r="C59" i="2"/>
  <c r="T58" i="2"/>
  <c r="S58" i="2"/>
  <c r="R58" i="2"/>
  <c r="Q58" i="2"/>
  <c r="P58" i="2"/>
  <c r="O58" i="2"/>
  <c r="N58" i="2"/>
  <c r="N56" i="2" s="1"/>
  <c r="M58" i="2"/>
  <c r="L58" i="2"/>
  <c r="K58" i="2"/>
  <c r="J58" i="2"/>
  <c r="I58" i="2"/>
  <c r="G58" i="2"/>
  <c r="F58" i="2"/>
  <c r="E58" i="2"/>
  <c r="E56" i="2" s="1"/>
  <c r="D58" i="2"/>
  <c r="C58" i="2"/>
  <c r="T57" i="2"/>
  <c r="S57" i="2"/>
  <c r="R57" i="2"/>
  <c r="R56" i="2" s="1"/>
  <c r="R53" i="2" s="1"/>
  <c r="Q57" i="2"/>
  <c r="P57" i="2"/>
  <c r="O57" i="2"/>
  <c r="N57" i="2"/>
  <c r="M57" i="2"/>
  <c r="L57" i="2"/>
  <c r="K57" i="2"/>
  <c r="J57" i="2"/>
  <c r="J56" i="2" s="1"/>
  <c r="I57" i="2"/>
  <c r="G57" i="2"/>
  <c r="F57" i="2"/>
  <c r="E57" i="2"/>
  <c r="D57" i="2"/>
  <c r="C57" i="2"/>
  <c r="T55" i="2"/>
  <c r="S55" i="2"/>
  <c r="R55" i="2"/>
  <c r="Q55" i="2"/>
  <c r="P55" i="2"/>
  <c r="O55" i="2"/>
  <c r="N55" i="2"/>
  <c r="M55" i="2"/>
  <c r="L55" i="2"/>
  <c r="K55" i="2"/>
  <c r="J55" i="2"/>
  <c r="I55" i="2"/>
  <c r="V55" i="2" s="1"/>
  <c r="F55" i="2"/>
  <c r="G55" i="2" s="1"/>
  <c r="E55" i="2"/>
  <c r="D55" i="2"/>
  <c r="C55" i="2"/>
  <c r="T54" i="2"/>
  <c r="S54" i="2"/>
  <c r="R54" i="2"/>
  <c r="Q54" i="2"/>
  <c r="P54" i="2"/>
  <c r="O54" i="2"/>
  <c r="N54" i="2"/>
  <c r="M54" i="2"/>
  <c r="L54" i="2"/>
  <c r="K54" i="2"/>
  <c r="J54" i="2"/>
  <c r="I54" i="2"/>
  <c r="G54" i="2"/>
  <c r="F54" i="2"/>
  <c r="J53" i="2"/>
  <c r="T52" i="2"/>
  <c r="S52" i="2"/>
  <c r="R52" i="2"/>
  <c r="Q52" i="2"/>
  <c r="P52" i="2"/>
  <c r="O52" i="2"/>
  <c r="N52" i="2"/>
  <c r="M52" i="2"/>
  <c r="L52" i="2"/>
  <c r="K52" i="2"/>
  <c r="J52" i="2"/>
  <c r="I52" i="2"/>
  <c r="F52" i="2"/>
  <c r="G52" i="2" s="1"/>
  <c r="E52" i="2"/>
  <c r="D52" i="2"/>
  <c r="C52" i="2"/>
  <c r="T51" i="2"/>
  <c r="S51" i="2"/>
  <c r="R51" i="2"/>
  <c r="Q51" i="2"/>
  <c r="P51" i="2"/>
  <c r="O51" i="2"/>
  <c r="M51" i="2"/>
  <c r="L51" i="2"/>
  <c r="K51" i="2"/>
  <c r="J51" i="2"/>
  <c r="I51" i="2"/>
  <c r="F51" i="2"/>
  <c r="G51" i="2" s="1"/>
  <c r="E51" i="2"/>
  <c r="D51" i="2"/>
  <c r="C51" i="2"/>
  <c r="T50" i="2"/>
  <c r="S50" i="2"/>
  <c r="Q50" i="2"/>
  <c r="P50" i="2"/>
  <c r="O50" i="2"/>
  <c r="N50" i="2"/>
  <c r="M50" i="2"/>
  <c r="L50" i="2"/>
  <c r="K50" i="2"/>
  <c r="V50" i="2" s="1"/>
  <c r="I50" i="2"/>
  <c r="G50" i="2"/>
  <c r="F50" i="2"/>
  <c r="E50" i="2"/>
  <c r="D50" i="2"/>
  <c r="C50" i="2"/>
  <c r="G49" i="2"/>
  <c r="F49" i="2"/>
  <c r="E49" i="2"/>
  <c r="D49" i="2"/>
  <c r="C49" i="2"/>
  <c r="O48" i="2"/>
  <c r="F48" i="2"/>
  <c r="E48" i="2"/>
  <c r="D48" i="2"/>
  <c r="C48" i="2"/>
  <c r="T47" i="2"/>
  <c r="S47" i="2"/>
  <c r="R47" i="2"/>
  <c r="Q47" i="2"/>
  <c r="P47" i="2"/>
  <c r="O47" i="2"/>
  <c r="N47" i="2"/>
  <c r="M47" i="2"/>
  <c r="L47" i="2"/>
  <c r="K47" i="2"/>
  <c r="J47" i="2"/>
  <c r="I47" i="2"/>
  <c r="F47" i="2"/>
  <c r="E47" i="2"/>
  <c r="D47" i="2"/>
  <c r="C47" i="2"/>
  <c r="T46" i="2"/>
  <c r="S46" i="2"/>
  <c r="R46" i="2"/>
  <c r="Q46" i="2"/>
  <c r="P46" i="2"/>
  <c r="N46" i="2"/>
  <c r="M46" i="2"/>
  <c r="L46" i="2"/>
  <c r="K46" i="2"/>
  <c r="J46" i="2"/>
  <c r="I46" i="2"/>
  <c r="V46" i="2" s="1"/>
  <c r="G46" i="2"/>
  <c r="F46" i="2"/>
  <c r="E46" i="2"/>
  <c r="D46" i="2"/>
  <c r="C46" i="2"/>
  <c r="T45" i="2"/>
  <c r="S45" i="2"/>
  <c r="R45" i="2"/>
  <c r="Q45" i="2"/>
  <c r="P45" i="2"/>
  <c r="O45" i="2"/>
  <c r="N45" i="2"/>
  <c r="M45" i="2"/>
  <c r="L45" i="2"/>
  <c r="K45" i="2"/>
  <c r="J45" i="2"/>
  <c r="V45" i="2" s="1"/>
  <c r="I45" i="2"/>
  <c r="F45" i="2"/>
  <c r="G45" i="2" s="1"/>
  <c r="E45" i="2"/>
  <c r="D45" i="2"/>
  <c r="C45" i="2"/>
  <c r="T44" i="2"/>
  <c r="S44" i="2"/>
  <c r="R44" i="2"/>
  <c r="Q44" i="2"/>
  <c r="P44" i="2"/>
  <c r="O44" i="2"/>
  <c r="N44" i="2"/>
  <c r="M44" i="2"/>
  <c r="L44" i="2"/>
  <c r="K44" i="2"/>
  <c r="J44" i="2"/>
  <c r="I44" i="2"/>
  <c r="V44" i="2" s="1"/>
  <c r="G44" i="2"/>
  <c r="E44" i="2"/>
  <c r="D44" i="2"/>
  <c r="T43" i="2"/>
  <c r="S43" i="2"/>
  <c r="R43" i="2"/>
  <c r="R36" i="2" s="1"/>
  <c r="Q43" i="2"/>
  <c r="P43" i="2"/>
  <c r="O43" i="2"/>
  <c r="N43" i="2"/>
  <c r="M43" i="2"/>
  <c r="L43" i="2"/>
  <c r="K43" i="2"/>
  <c r="J43" i="2"/>
  <c r="I43" i="2"/>
  <c r="V43" i="2" s="1"/>
  <c r="F43" i="2"/>
  <c r="E43" i="2"/>
  <c r="D43" i="2"/>
  <c r="C43" i="2"/>
  <c r="T42" i="2"/>
  <c r="S42" i="2"/>
  <c r="R42" i="2"/>
  <c r="Q42" i="2"/>
  <c r="P42" i="2"/>
  <c r="O42" i="2"/>
  <c r="N42" i="2"/>
  <c r="M42" i="2"/>
  <c r="L42" i="2"/>
  <c r="K42" i="2"/>
  <c r="V42" i="2" s="1"/>
  <c r="J42" i="2"/>
  <c r="I42" i="2"/>
  <c r="F42" i="2"/>
  <c r="E42" i="2"/>
  <c r="D42" i="2"/>
  <c r="C42" i="2"/>
  <c r="T41" i="2"/>
  <c r="S41" i="2"/>
  <c r="R41" i="2"/>
  <c r="Q41" i="2"/>
  <c r="P41" i="2"/>
  <c r="O41" i="2"/>
  <c r="N41" i="2"/>
  <c r="M41" i="2"/>
  <c r="L41" i="2"/>
  <c r="K41" i="2"/>
  <c r="K36" i="2" s="1"/>
  <c r="J41" i="2"/>
  <c r="I41" i="2"/>
  <c r="V41" i="2" s="1"/>
  <c r="F41" i="2"/>
  <c r="G41" i="2" s="1"/>
  <c r="D41" i="2"/>
  <c r="C41" i="2"/>
  <c r="T40" i="2"/>
  <c r="S40" i="2"/>
  <c r="R40" i="2"/>
  <c r="Q40" i="2"/>
  <c r="P40" i="2"/>
  <c r="O40" i="2"/>
  <c r="N40" i="2"/>
  <c r="M40" i="2"/>
  <c r="L40" i="2"/>
  <c r="K40" i="2"/>
  <c r="J40" i="2"/>
  <c r="I40" i="2"/>
  <c r="F40" i="2"/>
  <c r="F36" i="2" s="1"/>
  <c r="E40" i="2"/>
  <c r="D40" i="2"/>
  <c r="C40" i="2"/>
  <c r="T39" i="2"/>
  <c r="S39" i="2"/>
  <c r="S36" i="2" s="1"/>
  <c r="R39" i="2"/>
  <c r="Q39" i="2"/>
  <c r="P39" i="2"/>
  <c r="O39" i="2"/>
  <c r="N39" i="2"/>
  <c r="M39" i="2"/>
  <c r="L39" i="2"/>
  <c r="L36" i="2" s="1"/>
  <c r="K39" i="2"/>
  <c r="J39" i="2"/>
  <c r="I39" i="2"/>
  <c r="F39" i="2"/>
  <c r="E39" i="2"/>
  <c r="D39" i="2"/>
  <c r="C39" i="2"/>
  <c r="G39" i="2" s="1"/>
  <c r="T38" i="2"/>
  <c r="S38" i="2"/>
  <c r="R38" i="2"/>
  <c r="Q38" i="2"/>
  <c r="P38" i="2"/>
  <c r="O38" i="2"/>
  <c r="N38" i="2"/>
  <c r="M38" i="2"/>
  <c r="L38" i="2"/>
  <c r="K38" i="2"/>
  <c r="J38" i="2"/>
  <c r="V38" i="2" s="1"/>
  <c r="I38" i="2"/>
  <c r="F38" i="2"/>
  <c r="E38" i="2"/>
  <c r="E36" i="2" s="1"/>
  <c r="E33" i="2" s="1"/>
  <c r="D38" i="2"/>
  <c r="C38" i="2"/>
  <c r="G38" i="2" s="1"/>
  <c r="T37" i="2"/>
  <c r="T36" i="2" s="1"/>
  <c r="S37" i="2"/>
  <c r="R37" i="2"/>
  <c r="Q37" i="2"/>
  <c r="P37" i="2"/>
  <c r="P36" i="2" s="1"/>
  <c r="O37" i="2"/>
  <c r="O36" i="2" s="1"/>
  <c r="N37" i="2"/>
  <c r="N36" i="2" s="1"/>
  <c r="M37" i="2"/>
  <c r="L37" i="2"/>
  <c r="K37" i="2"/>
  <c r="J37" i="2"/>
  <c r="I37" i="2"/>
  <c r="V37" i="2" s="1"/>
  <c r="G37" i="2"/>
  <c r="F37" i="2"/>
  <c r="E37" i="2"/>
  <c r="D37" i="2"/>
  <c r="C37" i="2"/>
  <c r="C36" i="2" s="1"/>
  <c r="C33" i="2" s="1"/>
  <c r="Q36" i="2"/>
  <c r="L35" i="2"/>
  <c r="K35" i="2"/>
  <c r="J35" i="2"/>
  <c r="I35" i="2"/>
  <c r="V35" i="2" s="1"/>
  <c r="G35" i="2"/>
  <c r="F35" i="2"/>
  <c r="E35" i="2"/>
  <c r="D35" i="2"/>
  <c r="T34" i="2"/>
  <c r="S34" i="2"/>
  <c r="R34" i="2"/>
  <c r="Q34" i="2"/>
  <c r="O34" i="2"/>
  <c r="N34" i="2"/>
  <c r="L34" i="2"/>
  <c r="K34" i="2"/>
  <c r="J34" i="2"/>
  <c r="I34" i="2"/>
  <c r="F34" i="2"/>
  <c r="E34" i="2"/>
  <c r="D34" i="2"/>
  <c r="C34" i="2"/>
  <c r="T29" i="2"/>
  <c r="S29" i="2"/>
  <c r="R29" i="2"/>
  <c r="Q29" i="2"/>
  <c r="P29" i="2"/>
  <c r="O29" i="2"/>
  <c r="N29" i="2"/>
  <c r="M29" i="2"/>
  <c r="L29" i="2"/>
  <c r="K29" i="2"/>
  <c r="J29" i="2"/>
  <c r="I29" i="2"/>
  <c r="V29" i="2" s="1"/>
  <c r="F29" i="2"/>
  <c r="G29" i="2" s="1"/>
  <c r="E29" i="2"/>
  <c r="D29" i="2"/>
  <c r="C29" i="2"/>
  <c r="T28" i="2"/>
  <c r="S28" i="2"/>
  <c r="R28" i="2"/>
  <c r="Q28" i="2"/>
  <c r="P28" i="2"/>
  <c r="O28" i="2"/>
  <c r="N28" i="2"/>
  <c r="M28" i="2"/>
  <c r="V28" i="2" s="1"/>
  <c r="L28" i="2"/>
  <c r="K28" i="2"/>
  <c r="J28" i="2"/>
  <c r="I28" i="2"/>
  <c r="G28" i="2"/>
  <c r="F28" i="2"/>
  <c r="E28" i="2"/>
  <c r="D28" i="2"/>
  <c r="C28" i="2"/>
  <c r="T27" i="2"/>
  <c r="S27" i="2"/>
  <c r="R27" i="2"/>
  <c r="Q27" i="2"/>
  <c r="P27" i="2"/>
  <c r="O27" i="2"/>
  <c r="N27" i="2"/>
  <c r="M27" i="2"/>
  <c r="L27" i="2"/>
  <c r="K27" i="2"/>
  <c r="J27" i="2"/>
  <c r="V27" i="2" s="1"/>
  <c r="I27" i="2"/>
  <c r="F27" i="2"/>
  <c r="G27" i="2" s="1"/>
  <c r="E27" i="2"/>
  <c r="D27" i="2"/>
  <c r="C27" i="2"/>
  <c r="T26" i="2"/>
  <c r="S26" i="2"/>
  <c r="R26" i="2"/>
  <c r="Q26" i="2"/>
  <c r="P26" i="2"/>
  <c r="O26" i="2"/>
  <c r="N26" i="2"/>
  <c r="M26" i="2"/>
  <c r="L26" i="2"/>
  <c r="K26" i="2"/>
  <c r="J26" i="2"/>
  <c r="I26" i="2"/>
  <c r="V26" i="2" s="1"/>
  <c r="F26" i="2"/>
  <c r="E26" i="2"/>
  <c r="D26" i="2"/>
  <c r="C26" i="2"/>
  <c r="G26" i="2" s="1"/>
  <c r="T25" i="2"/>
  <c r="S25" i="2"/>
  <c r="R25" i="2"/>
  <c r="Q25" i="2"/>
  <c r="P25" i="2"/>
  <c r="O25" i="2"/>
  <c r="N25" i="2"/>
  <c r="M25" i="2"/>
  <c r="L25" i="2"/>
  <c r="K25" i="2"/>
  <c r="J25" i="2"/>
  <c r="I25" i="2"/>
  <c r="V25" i="2" s="1"/>
  <c r="F25" i="2"/>
  <c r="G25" i="2" s="1"/>
  <c r="E25" i="2"/>
  <c r="D25" i="2"/>
  <c r="C25" i="2"/>
  <c r="T24" i="2"/>
  <c r="S24" i="2"/>
  <c r="R24" i="2"/>
  <c r="Q24" i="2"/>
  <c r="P24" i="2"/>
  <c r="O24" i="2"/>
  <c r="N24" i="2"/>
  <c r="M24" i="2"/>
  <c r="V24" i="2" s="1"/>
  <c r="L24" i="2"/>
  <c r="K24" i="2"/>
  <c r="J24" i="2"/>
  <c r="I24" i="2"/>
  <c r="G24" i="2"/>
  <c r="F24" i="2"/>
  <c r="E24" i="2"/>
  <c r="D24" i="2"/>
  <c r="C24" i="2"/>
  <c r="T23" i="2"/>
  <c r="S23" i="2"/>
  <c r="R23" i="2"/>
  <c r="Q23" i="2"/>
  <c r="P23" i="2"/>
  <c r="O23" i="2"/>
  <c r="N23" i="2"/>
  <c r="M23" i="2"/>
  <c r="L23" i="2"/>
  <c r="K23" i="2"/>
  <c r="J23" i="2"/>
  <c r="V23" i="2" s="1"/>
  <c r="I23" i="2"/>
  <c r="F23" i="2"/>
  <c r="J22" i="1" s="1"/>
  <c r="E23" i="2"/>
  <c r="D23" i="2"/>
  <c r="C23" i="2"/>
  <c r="T22" i="2"/>
  <c r="S22" i="2"/>
  <c r="R22" i="2"/>
  <c r="Q22" i="2"/>
  <c r="P22" i="2"/>
  <c r="O22" i="2"/>
  <c r="N22" i="2"/>
  <c r="M22" i="2"/>
  <c r="L22" i="2"/>
  <c r="K22" i="2"/>
  <c r="J22" i="2"/>
  <c r="I22" i="2"/>
  <c r="V22" i="2" s="1"/>
  <c r="F22" i="2"/>
  <c r="E22" i="2"/>
  <c r="D22" i="2"/>
  <c r="C22" i="2"/>
  <c r="G22" i="2" s="1"/>
  <c r="T21" i="2"/>
  <c r="S21" i="2"/>
  <c r="R21" i="2"/>
  <c r="Q21" i="2"/>
  <c r="P21" i="2"/>
  <c r="O21" i="2"/>
  <c r="N21" i="2"/>
  <c r="M21" i="2"/>
  <c r="L21" i="2"/>
  <c r="K21" i="2"/>
  <c r="J21" i="2"/>
  <c r="I21" i="2"/>
  <c r="V21" i="2" s="1"/>
  <c r="F21" i="2"/>
  <c r="G21" i="2" s="1"/>
  <c r="E21" i="2"/>
  <c r="D21" i="2"/>
  <c r="C21" i="2"/>
  <c r="T20" i="2"/>
  <c r="S20" i="2"/>
  <c r="R20" i="2"/>
  <c r="Q20" i="2"/>
  <c r="P20" i="2"/>
  <c r="O20" i="2"/>
  <c r="N20" i="2"/>
  <c r="N17" i="2" s="1"/>
  <c r="M20" i="2"/>
  <c r="V20" i="2" s="1"/>
  <c r="L20" i="2"/>
  <c r="K20" i="2"/>
  <c r="J20" i="2"/>
  <c r="I20" i="2"/>
  <c r="G20" i="2"/>
  <c r="F20" i="2"/>
  <c r="E20" i="2"/>
  <c r="E17" i="2" s="1"/>
  <c r="E30" i="2" s="1"/>
  <c r="D20" i="2"/>
  <c r="C20" i="2"/>
  <c r="T19" i="2"/>
  <c r="S19" i="2"/>
  <c r="R19" i="2"/>
  <c r="Q19" i="2"/>
  <c r="P19" i="2"/>
  <c r="O19" i="2"/>
  <c r="O17" i="2" s="1"/>
  <c r="N19" i="2"/>
  <c r="M19" i="2"/>
  <c r="L19" i="2"/>
  <c r="K19" i="2"/>
  <c r="J19" i="2"/>
  <c r="V19" i="2" s="1"/>
  <c r="I19" i="2"/>
  <c r="F19" i="2"/>
  <c r="J18" i="1" s="1"/>
  <c r="E19" i="2"/>
  <c r="D19" i="2"/>
  <c r="C19" i="2"/>
  <c r="T18" i="2"/>
  <c r="S18" i="2"/>
  <c r="R18" i="2"/>
  <c r="R17" i="2" s="1"/>
  <c r="Q18" i="2"/>
  <c r="Q17" i="2" s="1"/>
  <c r="P18" i="2"/>
  <c r="P17" i="2" s="1"/>
  <c r="O18" i="2"/>
  <c r="N18" i="2"/>
  <c r="M18" i="2"/>
  <c r="M17" i="2" s="1"/>
  <c r="L18" i="2"/>
  <c r="K18" i="2"/>
  <c r="J18" i="2"/>
  <c r="J17" i="2" s="1"/>
  <c r="I18" i="2"/>
  <c r="I17" i="2" s="1"/>
  <c r="I30" i="2" s="1"/>
  <c r="F18" i="2"/>
  <c r="E18" i="2"/>
  <c r="D18" i="2"/>
  <c r="D17" i="2" s="1"/>
  <c r="D30" i="2" s="1"/>
  <c r="C18" i="2"/>
  <c r="G18" i="2" s="1"/>
  <c r="T17" i="2"/>
  <c r="S17" i="2"/>
  <c r="L17" i="2"/>
  <c r="K17" i="2"/>
  <c r="C17" i="2"/>
  <c r="C30" i="2" s="1"/>
  <c r="V16" i="2"/>
  <c r="T16" i="2"/>
  <c r="S16" i="2"/>
  <c r="R16" i="2"/>
  <c r="Q16" i="2"/>
  <c r="P16" i="2"/>
  <c r="O16" i="2"/>
  <c r="N16" i="2"/>
  <c r="M16" i="2"/>
  <c r="L16" i="2"/>
  <c r="K16" i="2"/>
  <c r="J16" i="2"/>
  <c r="I16" i="2"/>
  <c r="G16" i="2"/>
  <c r="F16" i="2"/>
  <c r="E16" i="2"/>
  <c r="D16" i="2"/>
  <c r="C16" i="2"/>
  <c r="T15" i="2"/>
  <c r="S15" i="2"/>
  <c r="R15" i="2"/>
  <c r="Q15" i="2"/>
  <c r="P15" i="2"/>
  <c r="O15" i="2"/>
  <c r="N15" i="2"/>
  <c r="M15" i="2"/>
  <c r="L15" i="2"/>
  <c r="K15" i="2"/>
  <c r="J15" i="2"/>
  <c r="V15" i="2" s="1"/>
  <c r="I15" i="2"/>
  <c r="F15" i="2"/>
  <c r="G15" i="2" s="1"/>
  <c r="E15" i="2"/>
  <c r="D15" i="2"/>
  <c r="C15" i="2"/>
  <c r="V14" i="2"/>
  <c r="G14" i="2"/>
  <c r="U13" i="2"/>
  <c r="T13" i="2"/>
  <c r="S13" i="2"/>
  <c r="R13" i="2"/>
  <c r="Q13" i="2"/>
  <c r="P13" i="2"/>
  <c r="O13" i="2"/>
  <c r="N13" i="2"/>
  <c r="M13" i="2"/>
  <c r="L13" i="2"/>
  <c r="K13" i="2"/>
  <c r="J13" i="2"/>
  <c r="V13" i="2" s="1"/>
  <c r="I13" i="2"/>
  <c r="F13" i="2"/>
  <c r="G13" i="2" s="1"/>
  <c r="E13" i="2"/>
  <c r="D13" i="2"/>
  <c r="C13" i="2"/>
  <c r="T12" i="2"/>
  <c r="S12" i="2"/>
  <c r="R12" i="2"/>
  <c r="Q12" i="2"/>
  <c r="P12" i="2"/>
  <c r="O12" i="2"/>
  <c r="N12" i="2"/>
  <c r="M12" i="2"/>
  <c r="L12" i="2"/>
  <c r="K12" i="2"/>
  <c r="J12" i="2"/>
  <c r="I12" i="2"/>
  <c r="V12" i="2" s="1"/>
  <c r="F12" i="2"/>
  <c r="G12" i="2" s="1"/>
  <c r="E12" i="2"/>
  <c r="D12" i="2"/>
  <c r="C12" i="2"/>
  <c r="T11" i="2"/>
  <c r="S11" i="2"/>
  <c r="R11" i="2"/>
  <c r="Q11" i="2"/>
  <c r="P11" i="2"/>
  <c r="O11" i="2"/>
  <c r="N11" i="2"/>
  <c r="M11" i="2"/>
  <c r="L11" i="2"/>
  <c r="K11" i="2"/>
  <c r="J11" i="2"/>
  <c r="I11" i="2"/>
  <c r="V11" i="2" s="1"/>
  <c r="G11" i="2"/>
  <c r="F11" i="2"/>
  <c r="E11" i="2"/>
  <c r="D11" i="2"/>
  <c r="C11" i="2"/>
  <c r="T10" i="2"/>
  <c r="S10" i="2"/>
  <c r="R10" i="2"/>
  <c r="Q10" i="2"/>
  <c r="P10" i="2"/>
  <c r="O10" i="2"/>
  <c r="N10" i="2"/>
  <c r="M10" i="2"/>
  <c r="L10" i="2"/>
  <c r="K10" i="2"/>
  <c r="J10" i="2"/>
  <c r="V10" i="2" s="1"/>
  <c r="I10" i="2"/>
  <c r="G10" i="2"/>
  <c r="F10" i="2"/>
  <c r="E10" i="2"/>
  <c r="D10" i="2"/>
  <c r="C10" i="2"/>
  <c r="T9" i="2"/>
  <c r="V9" i="2" s="1"/>
  <c r="F9" i="2"/>
  <c r="E9" i="2"/>
  <c r="D9" i="2"/>
  <c r="C9" i="2"/>
  <c r="G9" i="2" s="1"/>
  <c r="T8" i="2"/>
  <c r="V8" i="2" s="1"/>
  <c r="G8" i="2"/>
  <c r="F8" i="2"/>
  <c r="E8" i="2"/>
  <c r="D8" i="2"/>
  <c r="C8" i="2"/>
  <c r="T7" i="2"/>
  <c r="I7" i="2"/>
  <c r="G7" i="2"/>
  <c r="F7" i="2"/>
  <c r="E7" i="2"/>
  <c r="D7" i="2"/>
  <c r="C7" i="2"/>
  <c r="J109" i="1"/>
  <c r="J108" i="1"/>
  <c r="J106" i="1"/>
  <c r="J105" i="1"/>
  <c r="J104" i="1"/>
  <c r="J103" i="1"/>
  <c r="J102" i="1"/>
  <c r="J101" i="1"/>
  <c r="J100" i="1"/>
  <c r="J99" i="1"/>
  <c r="J107" i="1" s="1"/>
  <c r="J97" i="1"/>
  <c r="J96" i="1"/>
  <c r="J95" i="1"/>
  <c r="J94" i="1"/>
  <c r="J98" i="1" s="1"/>
  <c r="J92" i="1"/>
  <c r="J91" i="1"/>
  <c r="J90" i="1"/>
  <c r="J89" i="1"/>
  <c r="J88" i="1"/>
  <c r="J87" i="1"/>
  <c r="J86" i="1"/>
  <c r="J85" i="1"/>
  <c r="J84" i="1"/>
  <c r="J83" i="1"/>
  <c r="J82" i="1"/>
  <c r="J81" i="1"/>
  <c r="J80" i="1"/>
  <c r="J78" i="1"/>
  <c r="J77" i="1"/>
  <c r="J76" i="1"/>
  <c r="J75" i="1"/>
  <c r="J73" i="1"/>
  <c r="J72" i="1"/>
  <c r="J71" i="1"/>
  <c r="J70" i="1"/>
  <c r="J74" i="1" s="1"/>
  <c r="J69" i="1"/>
  <c r="J66" i="1"/>
  <c r="J65" i="1"/>
  <c r="J67" i="1" s="1"/>
  <c r="J62" i="1"/>
  <c r="J61" i="1"/>
  <c r="J60" i="1"/>
  <c r="J59" i="1"/>
  <c r="J58" i="1"/>
  <c r="J57" i="1"/>
  <c r="J56" i="1"/>
  <c r="J55" i="1"/>
  <c r="J54" i="1"/>
  <c r="J47" i="1"/>
  <c r="J46" i="1"/>
  <c r="J45" i="1"/>
  <c r="J44" i="1"/>
  <c r="J43" i="1"/>
  <c r="J42" i="1"/>
  <c r="J39" i="1"/>
  <c r="J40" i="1" s="1"/>
  <c r="J37" i="1"/>
  <c r="J36" i="1"/>
  <c r="J30" i="1"/>
  <c r="J29" i="1"/>
  <c r="J31" i="1" s="1"/>
  <c r="J27" i="1"/>
  <c r="J24" i="1"/>
  <c r="J23" i="1"/>
  <c r="J21" i="1"/>
  <c r="J20" i="1"/>
  <c r="J19" i="1"/>
  <c r="J17" i="1"/>
  <c r="J15" i="1"/>
  <c r="J16" i="1" s="1"/>
  <c r="J14" i="1"/>
  <c r="J12" i="1"/>
  <c r="J13" i="1" s="1"/>
  <c r="J11" i="1"/>
  <c r="F33" i="2" l="1"/>
  <c r="G36" i="2"/>
  <c r="J35" i="1"/>
  <c r="J38" i="1" s="1"/>
  <c r="K33" i="2"/>
  <c r="O33" i="2"/>
  <c r="T30" i="2"/>
  <c r="G23" i="2"/>
  <c r="I36" i="2"/>
  <c r="R128" i="2"/>
  <c r="C134" i="2"/>
  <c r="G135" i="2"/>
  <c r="X19" i="6"/>
  <c r="J36" i="2"/>
  <c r="V52" i="2"/>
  <c r="V76" i="2"/>
  <c r="V77" i="2"/>
  <c r="V78" i="2"/>
  <c r="G80" i="2"/>
  <c r="V81" i="2"/>
  <c r="V82" i="2"/>
  <c r="G101" i="2"/>
  <c r="V103" i="2"/>
  <c r="E113" i="2"/>
  <c r="N113" i="2"/>
  <c r="V155" i="2"/>
  <c r="P6" i="6"/>
  <c r="O6" i="6"/>
  <c r="N6" i="6"/>
  <c r="U6" i="6"/>
  <c r="M6" i="6"/>
  <c r="T6" i="6"/>
  <c r="L6" i="6"/>
  <c r="F14" i="6"/>
  <c r="Q6" i="6"/>
  <c r="S6" i="6"/>
  <c r="R6" i="6"/>
  <c r="X8" i="20"/>
  <c r="X12" i="20"/>
  <c r="X11" i="20" s="1"/>
  <c r="K11" i="20"/>
  <c r="I171" i="2"/>
  <c r="S11" i="20"/>
  <c r="Q171" i="2"/>
  <c r="J79" i="1"/>
  <c r="J93" i="1" s="1"/>
  <c r="G19" i="2"/>
  <c r="V54" i="2"/>
  <c r="P56" i="2"/>
  <c r="P53" i="2" s="1"/>
  <c r="G87" i="2"/>
  <c r="G47" i="2"/>
  <c r="G48" i="2"/>
  <c r="S53" i="2"/>
  <c r="G60" i="2"/>
  <c r="G68" i="2"/>
  <c r="V87" i="2"/>
  <c r="G89" i="2"/>
  <c r="T99" i="2"/>
  <c r="V107" i="2"/>
  <c r="G109" i="2"/>
  <c r="P113" i="2"/>
  <c r="O113" i="2"/>
  <c r="V130" i="2"/>
  <c r="V131" i="2"/>
  <c r="I128" i="2"/>
  <c r="O134" i="2"/>
  <c r="V138" i="2"/>
  <c r="R140" i="2"/>
  <c r="R134" i="2" s="1"/>
  <c r="V141" i="2"/>
  <c r="G148" i="2"/>
  <c r="V157" i="2"/>
  <c r="V158" i="2"/>
  <c r="M162" i="2"/>
  <c r="V164" i="2"/>
  <c r="G6" i="6"/>
  <c r="G14" i="6" s="1"/>
  <c r="P162" i="2"/>
  <c r="V123" i="2"/>
  <c r="F17" i="2"/>
  <c r="M34" i="2"/>
  <c r="V47" i="2"/>
  <c r="L53" i="2"/>
  <c r="T53" i="2"/>
  <c r="S56" i="2"/>
  <c r="V58" i="2"/>
  <c r="Q56" i="2"/>
  <c r="V59" i="2"/>
  <c r="V67" i="2"/>
  <c r="V83" i="2"/>
  <c r="G85" i="2"/>
  <c r="G97" i="2"/>
  <c r="F113" i="2"/>
  <c r="G116" i="2"/>
  <c r="G117" i="2"/>
  <c r="V129" i="2"/>
  <c r="V147" i="2"/>
  <c r="F38" i="10"/>
  <c r="G38" i="10" s="1"/>
  <c r="G12" i="10"/>
  <c r="V60" i="2"/>
  <c r="V102" i="2"/>
  <c r="V18" i="2"/>
  <c r="V17" i="2" s="1"/>
  <c r="J25" i="1"/>
  <c r="J32" i="1" s="1"/>
  <c r="D36" i="2"/>
  <c r="D33" i="2" s="1"/>
  <c r="D174" i="2" s="1"/>
  <c r="M36" i="2"/>
  <c r="V39" i="2"/>
  <c r="V36" i="2" s="1"/>
  <c r="G40" i="2"/>
  <c r="C53" i="2"/>
  <c r="G72" i="2"/>
  <c r="V85" i="2"/>
  <c r="K86" i="2"/>
  <c r="S86" i="2"/>
  <c r="V97" i="2"/>
  <c r="V95" i="2" s="1"/>
  <c r="V98" i="2"/>
  <c r="J113" i="2"/>
  <c r="V114" i="2"/>
  <c r="R113" i="2"/>
  <c r="R99" i="2" s="1"/>
  <c r="V115" i="2"/>
  <c r="Q113" i="2"/>
  <c r="V116" i="2"/>
  <c r="G121" i="2"/>
  <c r="I134" i="2"/>
  <c r="Q134" i="2"/>
  <c r="V136" i="2"/>
  <c r="X13" i="5"/>
  <c r="X48" i="6"/>
  <c r="J41" i="1"/>
  <c r="J48" i="1" s="1"/>
  <c r="J26" i="1"/>
  <c r="V40" i="2"/>
  <c r="G42" i="2"/>
  <c r="N53" i="2"/>
  <c r="V57" i="2"/>
  <c r="V56" i="2" s="1"/>
  <c r="V71" i="2"/>
  <c r="D86" i="2"/>
  <c r="M86" i="2"/>
  <c r="V91" i="2"/>
  <c r="G93" i="2"/>
  <c r="K95" i="2"/>
  <c r="S95" i="2"/>
  <c r="D99" i="2"/>
  <c r="V100" i="2"/>
  <c r="D105" i="2"/>
  <c r="M105" i="2"/>
  <c r="V111" i="2"/>
  <c r="V112" i="2"/>
  <c r="K113" i="2"/>
  <c r="S113" i="2"/>
  <c r="J134" i="2"/>
  <c r="V145" i="2"/>
  <c r="F168" i="2"/>
  <c r="G168" i="2" s="1"/>
  <c r="G171" i="2"/>
  <c r="V16" i="5"/>
  <c r="O10" i="5"/>
  <c r="O14" i="5" s="1"/>
  <c r="M159" i="2"/>
  <c r="V159" i="2" s="1"/>
  <c r="N47" i="8"/>
  <c r="X25" i="8"/>
  <c r="I72" i="2"/>
  <c r="V72" i="2" s="1"/>
  <c r="X30" i="8"/>
  <c r="K77" i="2"/>
  <c r="K56" i="2" s="1"/>
  <c r="K53" i="2" s="1"/>
  <c r="V132" i="2"/>
  <c r="Q53" i="2"/>
  <c r="I105" i="2"/>
  <c r="V106" i="2"/>
  <c r="V105" i="2" s="1"/>
  <c r="J50" i="1"/>
  <c r="G34" i="2"/>
  <c r="G43" i="2"/>
  <c r="E53" i="2"/>
  <c r="E174" i="2" s="1"/>
  <c r="F56" i="2"/>
  <c r="F53" i="2" s="1"/>
  <c r="G53" i="2" s="1"/>
  <c r="G64" i="2"/>
  <c r="V69" i="2"/>
  <c r="V70" i="2"/>
  <c r="V73" i="2"/>
  <c r="V93" i="2"/>
  <c r="V94" i="2"/>
  <c r="E99" i="2"/>
  <c r="C99" i="2"/>
  <c r="O105" i="2"/>
  <c r="G129" i="2"/>
  <c r="V137" i="2"/>
  <c r="V149" i="2"/>
  <c r="V150" i="2"/>
  <c r="V151" i="2"/>
  <c r="V161" i="2"/>
  <c r="G172" i="2"/>
  <c r="C168" i="2"/>
  <c r="C162" i="2" s="1"/>
  <c r="V172" i="2"/>
  <c r="O16" i="5"/>
  <c r="X7" i="5"/>
  <c r="K10" i="5"/>
  <c r="K14" i="5" s="1"/>
  <c r="X12" i="5"/>
  <c r="N21" i="8"/>
  <c r="N19" i="8" s="1"/>
  <c r="L70" i="2"/>
  <c r="L56" i="2" s="1"/>
  <c r="X23" i="8"/>
  <c r="I95" i="2"/>
  <c r="F134" i="2"/>
  <c r="G134" i="2" s="1"/>
  <c r="V135" i="2"/>
  <c r="G163" i="2"/>
  <c r="Q168" i="2"/>
  <c r="Q162" i="2" s="1"/>
  <c r="O27" i="6"/>
  <c r="M49" i="2" s="1"/>
  <c r="V27" i="6"/>
  <c r="T49" i="2" s="1"/>
  <c r="N27" i="6"/>
  <c r="L49" i="2" s="1"/>
  <c r="U27" i="6"/>
  <c r="S49" i="2" s="1"/>
  <c r="M27" i="6"/>
  <c r="K49" i="2" s="1"/>
  <c r="T27" i="6"/>
  <c r="R49" i="2" s="1"/>
  <c r="L27" i="6"/>
  <c r="J49" i="2" s="1"/>
  <c r="S27" i="6"/>
  <c r="Q49" i="2" s="1"/>
  <c r="K27" i="6"/>
  <c r="P27" i="6"/>
  <c r="N49" i="2" s="1"/>
  <c r="N33" i="2" s="1"/>
  <c r="L39" i="6"/>
  <c r="X42" i="6"/>
  <c r="K13" i="7"/>
  <c r="X13" i="14"/>
  <c r="L18" i="14"/>
  <c r="L11" i="14"/>
  <c r="T18" i="14"/>
  <c r="T11" i="14"/>
  <c r="P168" i="2"/>
  <c r="L11" i="20"/>
  <c r="L14" i="20" s="1"/>
  <c r="J171" i="2"/>
  <c r="T11" i="20"/>
  <c r="R171" i="2"/>
  <c r="R168" i="2" s="1"/>
  <c r="R162" i="2" s="1"/>
  <c r="G164" i="2"/>
  <c r="V170" i="2"/>
  <c r="I168" i="2"/>
  <c r="I162" i="2" s="1"/>
  <c r="G10" i="3"/>
  <c r="G15" i="3" s="1"/>
  <c r="R10" i="5"/>
  <c r="R14" i="5" s="1"/>
  <c r="G18" i="6"/>
  <c r="R18" i="6"/>
  <c r="P49" i="8"/>
  <c r="U21" i="8"/>
  <c r="U19" i="8" s="1"/>
  <c r="U47" i="8" s="1"/>
  <c r="U49" i="8" s="1"/>
  <c r="O38" i="10"/>
  <c r="S27" i="16"/>
  <c r="F105" i="2"/>
  <c r="F162" i="2"/>
  <c r="N162" i="2"/>
  <c r="V169" i="2"/>
  <c r="R16" i="5"/>
  <c r="X13" i="6"/>
  <c r="E61" i="6"/>
  <c r="Q27" i="6"/>
  <c r="O49" i="2" s="1"/>
  <c r="G11" i="15"/>
  <c r="F161" i="2"/>
  <c r="G161" i="2" s="1"/>
  <c r="O162" i="2"/>
  <c r="V165" i="2"/>
  <c r="J168" i="2"/>
  <c r="T17" i="3"/>
  <c r="X11" i="3"/>
  <c r="K16" i="5"/>
  <c r="S16" i="5"/>
  <c r="G10" i="5"/>
  <c r="G14" i="5" s="1"/>
  <c r="X11" i="5"/>
  <c r="F17" i="6"/>
  <c r="X24" i="6"/>
  <c r="R27" i="6"/>
  <c r="P49" i="2" s="1"/>
  <c r="R39" i="6"/>
  <c r="X21" i="23"/>
  <c r="J162" i="2"/>
  <c r="V163" i="2"/>
  <c r="V167" i="2"/>
  <c r="X14" i="3"/>
  <c r="L11" i="4"/>
  <c r="T16" i="5"/>
  <c r="S39" i="6"/>
  <c r="M21" i="8"/>
  <c r="M19" i="8" s="1"/>
  <c r="M47" i="8" s="1"/>
  <c r="M49" i="8" s="1"/>
  <c r="G160" i="2"/>
  <c r="L162" i="2"/>
  <c r="T162" i="2"/>
  <c r="N17" i="3"/>
  <c r="V17" i="3"/>
  <c r="M16" i="5"/>
  <c r="U16" i="5"/>
  <c r="V26" i="6"/>
  <c r="T48" i="2" s="1"/>
  <c r="T33" i="2" s="1"/>
  <c r="T174" i="2" s="1"/>
  <c r="N26" i="6"/>
  <c r="L48" i="2" s="1"/>
  <c r="L33" i="2" s="1"/>
  <c r="U26" i="6"/>
  <c r="S48" i="2" s="1"/>
  <c r="S33" i="2" s="1"/>
  <c r="M26" i="6"/>
  <c r="K48" i="2" s="1"/>
  <c r="T26" i="6"/>
  <c r="R48" i="2" s="1"/>
  <c r="R33" i="2" s="1"/>
  <c r="L26" i="6"/>
  <c r="J48" i="2" s="1"/>
  <c r="J33" i="2" s="1"/>
  <c r="J174" i="2" s="1"/>
  <c r="S26" i="6"/>
  <c r="Q48" i="2" s="1"/>
  <c r="K26" i="6"/>
  <c r="R26" i="6"/>
  <c r="P48" i="2" s="1"/>
  <c r="G26" i="6"/>
  <c r="O26" i="6"/>
  <c r="M48" i="2" s="1"/>
  <c r="X28" i="6"/>
  <c r="X34" i="6"/>
  <c r="X43" i="6"/>
  <c r="X39" i="6" s="1"/>
  <c r="X50" i="6"/>
  <c r="K39" i="6"/>
  <c r="N49" i="8"/>
  <c r="F47" i="8"/>
  <c r="G12" i="8"/>
  <c r="X39" i="8"/>
  <c r="X37" i="8" s="1"/>
  <c r="X23" i="17"/>
  <c r="X7" i="3"/>
  <c r="R10" i="4"/>
  <c r="F11" i="4"/>
  <c r="G11" i="4" s="1"/>
  <c r="C39" i="6"/>
  <c r="C61" i="6" s="1"/>
  <c r="R13" i="7"/>
  <c r="K11" i="7"/>
  <c r="X9" i="7"/>
  <c r="Q40" i="10"/>
  <c r="S38" i="10"/>
  <c r="S40" i="10" s="1"/>
  <c r="G8" i="12"/>
  <c r="X14" i="14"/>
  <c r="X18" i="14" s="1"/>
  <c r="M18" i="15"/>
  <c r="X10" i="20"/>
  <c r="X13" i="21"/>
  <c r="S21" i="23"/>
  <c r="M10" i="4"/>
  <c r="U10" i="4"/>
  <c r="M13" i="7"/>
  <c r="U13" i="7"/>
  <c r="X7" i="8"/>
  <c r="X8" i="8" s="1"/>
  <c r="P47" i="8"/>
  <c r="X22" i="8"/>
  <c r="G24" i="8"/>
  <c r="C21" i="8"/>
  <c r="C19" i="8" s="1"/>
  <c r="G19" i="8" s="1"/>
  <c r="K38" i="10"/>
  <c r="K40" i="10" s="1"/>
  <c r="X14" i="12"/>
  <c r="X20" i="12" s="1"/>
  <c r="X22" i="12" s="1"/>
  <c r="M18" i="14"/>
  <c r="M20" i="14" s="1"/>
  <c r="M11" i="14"/>
  <c r="U18" i="14"/>
  <c r="U20" i="14" s="1"/>
  <c r="U11" i="14"/>
  <c r="K18" i="15"/>
  <c r="L27" i="16"/>
  <c r="T27" i="16"/>
  <c r="N36" i="17"/>
  <c r="V36" i="17"/>
  <c r="X28" i="17"/>
  <c r="K23" i="17"/>
  <c r="X9" i="20"/>
  <c r="L19" i="23"/>
  <c r="T19" i="23"/>
  <c r="F15" i="3"/>
  <c r="N10" i="4"/>
  <c r="F56" i="6"/>
  <c r="G56" i="6" s="1"/>
  <c r="Q47" i="8"/>
  <c r="Q49" i="8" s="1"/>
  <c r="X16" i="8"/>
  <c r="X12" i="8" s="1"/>
  <c r="X24" i="8"/>
  <c r="U40" i="10"/>
  <c r="K20" i="14"/>
  <c r="X18" i="15"/>
  <c r="X13" i="17"/>
  <c r="C36" i="17"/>
  <c r="O36" i="17"/>
  <c r="O38" i="17" s="1"/>
  <c r="G12" i="19"/>
  <c r="Q14" i="20"/>
  <c r="Q16" i="20" s="1"/>
  <c r="O10" i="4"/>
  <c r="F14" i="5"/>
  <c r="X20" i="6"/>
  <c r="P29" i="6"/>
  <c r="N51" i="2" s="1"/>
  <c r="V51" i="2" s="1"/>
  <c r="X11" i="7"/>
  <c r="X13" i="7" s="1"/>
  <c r="G8" i="8"/>
  <c r="R47" i="8"/>
  <c r="S18" i="15"/>
  <c r="R23" i="17"/>
  <c r="R14" i="20"/>
  <c r="X12" i="22"/>
  <c r="X14" i="22" s="1"/>
  <c r="G12" i="22"/>
  <c r="G6" i="23"/>
  <c r="P10" i="4"/>
  <c r="X26" i="8"/>
  <c r="X31" i="8"/>
  <c r="O40" i="10"/>
  <c r="P38" i="10"/>
  <c r="O27" i="16"/>
  <c r="X11" i="16"/>
  <c r="X25" i="16" s="1"/>
  <c r="X27" i="16" s="1"/>
  <c r="Q36" i="17"/>
  <c r="Q38" i="17" s="1"/>
  <c r="G24" i="17"/>
  <c r="C23" i="17"/>
  <c r="G23" i="17" s="1"/>
  <c r="X27" i="17"/>
  <c r="K14" i="20"/>
  <c r="K16" i="20" s="1"/>
  <c r="S14" i="20"/>
  <c r="S16" i="20" s="1"/>
  <c r="V14" i="20"/>
  <c r="Q21" i="23"/>
  <c r="R49" i="8"/>
  <c r="X11" i="8"/>
  <c r="T47" i="8"/>
  <c r="T49" i="8" s="1"/>
  <c r="K21" i="8"/>
  <c r="K19" i="8" s="1"/>
  <c r="K47" i="8" s="1"/>
  <c r="K49" i="8" s="1"/>
  <c r="S21" i="8"/>
  <c r="S19" i="8" s="1"/>
  <c r="S47" i="8" s="1"/>
  <c r="S49" i="8" s="1"/>
  <c r="X33" i="10"/>
  <c r="X31" i="10" s="1"/>
  <c r="X15" i="11"/>
  <c r="G20" i="12"/>
  <c r="M20" i="12"/>
  <c r="M22" i="12" s="1"/>
  <c r="U20" i="12"/>
  <c r="U22" i="12" s="1"/>
  <c r="X7" i="14"/>
  <c r="G18" i="14"/>
  <c r="L18" i="15"/>
  <c r="F36" i="17"/>
  <c r="R36" i="17"/>
  <c r="X21" i="17"/>
  <c r="T14" i="20"/>
  <c r="G14" i="20"/>
  <c r="U13" i="21"/>
  <c r="G6" i="22"/>
  <c r="L47" i="8"/>
  <c r="L49" i="8" s="1"/>
  <c r="X9" i="9"/>
  <c r="X11" i="9" s="1"/>
  <c r="X15" i="10"/>
  <c r="X12" i="10" s="1"/>
  <c r="X38" i="10" s="1"/>
  <c r="G10" i="13"/>
  <c r="G14" i="14"/>
  <c r="R11" i="17"/>
  <c r="P101" i="2" s="1"/>
  <c r="M14" i="17"/>
  <c r="K104" i="2" s="1"/>
  <c r="K99" i="2" s="1"/>
  <c r="U14" i="17"/>
  <c r="S104" i="2" s="1"/>
  <c r="S99" i="2" s="1"/>
  <c r="X10" i="19"/>
  <c r="X12" i="19" s="1"/>
  <c r="X14" i="19" s="1"/>
  <c r="G9" i="23"/>
  <c r="X5" i="14"/>
  <c r="X8" i="14" s="1"/>
  <c r="P14" i="17"/>
  <c r="N104" i="2" s="1"/>
  <c r="Q14" i="17"/>
  <c r="O104" i="2" s="1"/>
  <c r="O99" i="2" s="1"/>
  <c r="G18" i="18"/>
  <c r="O11" i="14"/>
  <c r="X11" i="14"/>
  <c r="O11" i="17"/>
  <c r="M101" i="2" s="1"/>
  <c r="M99" i="2" s="1"/>
  <c r="G14" i="17"/>
  <c r="R14" i="17"/>
  <c r="P104" i="2" s="1"/>
  <c r="K18" i="18"/>
  <c r="G5" i="23"/>
  <c r="L31" i="10"/>
  <c r="L38" i="10" s="1"/>
  <c r="P11" i="17"/>
  <c r="N101" i="2" s="1"/>
  <c r="N99" i="2" s="1"/>
  <c r="K14" i="17"/>
  <c r="S14" i="17"/>
  <c r="Q104" i="2" s="1"/>
  <c r="Q99" i="2" s="1"/>
  <c r="N18" i="18"/>
  <c r="Q11" i="14"/>
  <c r="L14" i="17"/>
  <c r="J104" i="2" s="1"/>
  <c r="J99" i="2" s="1"/>
  <c r="G15" i="17"/>
  <c r="R174" i="2" l="1"/>
  <c r="C174" i="2"/>
  <c r="G113" i="2"/>
  <c r="J63" i="1"/>
  <c r="G105" i="2"/>
  <c r="J53" i="1"/>
  <c r="F99" i="2"/>
  <c r="G99" i="2" s="1"/>
  <c r="L17" i="6"/>
  <c r="L61" i="6" s="1"/>
  <c r="I56" i="2"/>
  <c r="I53" i="2" s="1"/>
  <c r="F30" i="2"/>
  <c r="G30" i="2" s="1"/>
  <c r="G17" i="2"/>
  <c r="P17" i="6"/>
  <c r="P61" i="6" s="1"/>
  <c r="M14" i="6"/>
  <c r="M63" i="6" s="1"/>
  <c r="K7" i="2"/>
  <c r="K30" i="2" s="1"/>
  <c r="M33" i="2"/>
  <c r="X21" i="8"/>
  <c r="X19" i="8" s="1"/>
  <c r="M11" i="4"/>
  <c r="X11" i="4" s="1"/>
  <c r="K140" i="2"/>
  <c r="G36" i="17"/>
  <c r="P99" i="2"/>
  <c r="N11" i="4"/>
  <c r="L140" i="2"/>
  <c r="L134" i="2" s="1"/>
  <c r="X29" i="6"/>
  <c r="M17" i="6"/>
  <c r="M61" i="6" s="1"/>
  <c r="U17" i="6"/>
  <c r="U61" i="6" s="1"/>
  <c r="U14" i="6"/>
  <c r="U63" i="6" s="1"/>
  <c r="S7" i="2"/>
  <c r="S30" i="2" s="1"/>
  <c r="N17" i="6"/>
  <c r="N61" i="6" s="1"/>
  <c r="F61" i="6"/>
  <c r="G17" i="6"/>
  <c r="C47" i="8"/>
  <c r="G47" i="8" s="1"/>
  <c r="G33" i="2"/>
  <c r="V101" i="2"/>
  <c r="R14" i="6"/>
  <c r="P7" i="2"/>
  <c r="P30" i="2" s="1"/>
  <c r="N14" i="6"/>
  <c r="L7" i="2"/>
  <c r="L30" i="2" s="1"/>
  <c r="O174" i="2"/>
  <c r="V34" i="2"/>
  <c r="X14" i="17"/>
  <c r="I104" i="2"/>
  <c r="K36" i="17"/>
  <c r="K38" i="17" s="1"/>
  <c r="T14" i="6"/>
  <c r="T63" i="6" s="1"/>
  <c r="R7" i="2"/>
  <c r="R30" i="2" s="1"/>
  <c r="R176" i="2" s="1"/>
  <c r="P36" i="17"/>
  <c r="X20" i="14"/>
  <c r="S36" i="17"/>
  <c r="S38" i="17" s="1"/>
  <c r="X10" i="5"/>
  <c r="X14" i="5" s="1"/>
  <c r="G39" i="6"/>
  <c r="Q17" i="6"/>
  <c r="Q61" i="6" s="1"/>
  <c r="V171" i="2"/>
  <c r="S14" i="6"/>
  <c r="Q7" i="2"/>
  <c r="Q30" i="2" s="1"/>
  <c r="O14" i="6"/>
  <c r="M7" i="2"/>
  <c r="M30" i="2" s="1"/>
  <c r="U11" i="4"/>
  <c r="S140" i="2"/>
  <c r="S134" i="2" s="1"/>
  <c r="S174" i="2" s="1"/>
  <c r="X10" i="3"/>
  <c r="X15" i="3" s="1"/>
  <c r="R17" i="6"/>
  <c r="R61" i="6" s="1"/>
  <c r="P34" i="2"/>
  <c r="P33" i="2" s="1"/>
  <c r="T17" i="6"/>
  <c r="T61" i="6" s="1"/>
  <c r="S17" i="6"/>
  <c r="S61" i="6" s="1"/>
  <c r="X18" i="18"/>
  <c r="X11" i="18" s="1"/>
  <c r="X21" i="18" s="1"/>
  <c r="X23" i="18" s="1"/>
  <c r="K11" i="18"/>
  <c r="K21" i="18" s="1"/>
  <c r="K23" i="18" s="1"/>
  <c r="I120" i="2"/>
  <c r="X47" i="8"/>
  <c r="O11" i="4"/>
  <c r="M140" i="2"/>
  <c r="M134" i="2" s="1"/>
  <c r="X11" i="17"/>
  <c r="X36" i="17" s="1"/>
  <c r="X38" i="17" s="1"/>
  <c r="N11" i="18"/>
  <c r="N21" i="18" s="1"/>
  <c r="L120" i="2"/>
  <c r="L113" i="2" s="1"/>
  <c r="L99" i="2" s="1"/>
  <c r="L174" i="2" s="1"/>
  <c r="P11" i="4"/>
  <c r="N140" i="2"/>
  <c r="N134" i="2" s="1"/>
  <c r="N174" i="2" s="1"/>
  <c r="X49" i="8"/>
  <c r="P140" i="2"/>
  <c r="P134" i="2" s="1"/>
  <c r="R11" i="4"/>
  <c r="K17" i="6"/>
  <c r="K61" i="6" s="1"/>
  <c r="K63" i="6" s="1"/>
  <c r="X26" i="6"/>
  <c r="I48" i="2"/>
  <c r="V48" i="2" s="1"/>
  <c r="U36" i="17"/>
  <c r="U38" i="17" s="1"/>
  <c r="J52" i="1"/>
  <c r="V128" i="2"/>
  <c r="V17" i="6"/>
  <c r="V61" i="6" s="1"/>
  <c r="V63" i="6" s="1"/>
  <c r="V86" i="2"/>
  <c r="Q14" i="6"/>
  <c r="O7" i="2"/>
  <c r="O30" i="2" s="1"/>
  <c r="O176" i="2" s="1"/>
  <c r="P14" i="6"/>
  <c r="P63" i="6" s="1"/>
  <c r="N7" i="2"/>
  <c r="N30" i="2" s="1"/>
  <c r="X18" i="6"/>
  <c r="X17" i="6" s="1"/>
  <c r="X61" i="6" s="1"/>
  <c r="G162" i="2"/>
  <c r="Q33" i="2"/>
  <c r="Q174" i="2" s="1"/>
  <c r="M36" i="17"/>
  <c r="M38" i="17" s="1"/>
  <c r="X10" i="4"/>
  <c r="L36" i="17"/>
  <c r="V168" i="2"/>
  <c r="V162" i="2" s="1"/>
  <c r="O17" i="6"/>
  <c r="O61" i="6" s="1"/>
  <c r="G21" i="8"/>
  <c r="X27" i="6"/>
  <c r="I49" i="2"/>
  <c r="V49" i="2" s="1"/>
  <c r="G56" i="2"/>
  <c r="J49" i="1"/>
  <c r="J51" i="1" s="1"/>
  <c r="V53" i="2"/>
  <c r="X14" i="20"/>
  <c r="X16" i="20" s="1"/>
  <c r="X6" i="6"/>
  <c r="L14" i="6"/>
  <c r="J7" i="2"/>
  <c r="T176" i="2"/>
  <c r="F174" i="2" l="1"/>
  <c r="G174" i="2" s="1"/>
  <c r="N176" i="2"/>
  <c r="V104" i="2"/>
  <c r="J64" i="1"/>
  <c r="J68" i="1" s="1"/>
  <c r="J110" i="1" s="1"/>
  <c r="J112" i="1" s="1"/>
  <c r="K176" i="2"/>
  <c r="L63" i="6"/>
  <c r="X14" i="6"/>
  <c r="O63" i="6"/>
  <c r="V33" i="2"/>
  <c r="K134" i="2"/>
  <c r="K174" i="2" s="1"/>
  <c r="V140" i="2"/>
  <c r="V134" i="2" s="1"/>
  <c r="V7" i="2"/>
  <c r="V30" i="2" s="1"/>
  <c r="J30" i="2"/>
  <c r="J176" i="2" s="1"/>
  <c r="J178" i="2" s="1"/>
  <c r="S176" i="2"/>
  <c r="Q63" i="6"/>
  <c r="I33" i="2"/>
  <c r="V120" i="2"/>
  <c r="V113" i="2" s="1"/>
  <c r="I113" i="2"/>
  <c r="I99" i="2" s="1"/>
  <c r="R63" i="6"/>
  <c r="Q176" i="2"/>
  <c r="P174" i="2"/>
  <c r="P176" i="2" s="1"/>
  <c r="S63" i="6"/>
  <c r="L176" i="2"/>
  <c r="G61" i="6"/>
  <c r="N63" i="6"/>
  <c r="M174" i="2"/>
  <c r="M176" i="2" s="1"/>
  <c r="V99" i="2" l="1"/>
  <c r="I174" i="2"/>
  <c r="I176" i="2" s="1"/>
  <c r="V174" i="2"/>
  <c r="K178" i="2"/>
  <c r="L178" i="2" s="1"/>
  <c r="M178" i="2" s="1"/>
  <c r="N178" i="2" s="1"/>
  <c r="O178" i="2" s="1"/>
  <c r="P178" i="2" s="1"/>
  <c r="Q178" i="2" s="1"/>
  <c r="R178" i="2" s="1"/>
  <c r="S178" i="2" s="1"/>
  <c r="T178"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F12" authorId="0" shapeId="0" xr:uid="{00000000-0006-0000-0200-000001000000}">
      <text>
        <r>
          <rPr>
            <sz val="10"/>
            <color rgb="FF000000"/>
            <rFont val="Arial"/>
            <scheme val="minor"/>
          </rPr>
          <t>$2k moved from Diversity
	-Chiquetta West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300-000001000000}">
      <text>
        <r>
          <rPr>
            <sz val="10"/>
            <color rgb="FF000000"/>
            <rFont val="Arial"/>
            <scheme val="minor"/>
          </rPr>
          <t>======
ID#AAAA6feq75g
Chiquetta West    (2023-10-05 16:12:40)
Transfer from Central Admin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R11" authorId="0" shapeId="0" xr:uid="{00000000-0006-0000-0500-000001000000}">
      <text>
        <r>
          <rPr>
            <sz val="10"/>
            <color rgb="FF000000"/>
            <rFont val="Arial"/>
            <scheme val="minor"/>
          </rPr>
          <t>Retention stipend, IXL software (Power 30) &amp; chair lift
	-Chiquetta West</t>
        </r>
      </text>
    </comment>
    <comment ref="B36" authorId="0" shapeId="0" xr:uid="{00000000-0006-0000-0500-000002000000}">
      <text>
        <r>
          <rPr>
            <sz val="10"/>
            <color rgb="FF000000"/>
            <rFont val="Arial"/>
            <scheme val="minor"/>
          </rPr>
          <t>======
ID#AAAA8GOgEKQ
Chiquetta West    (2023-10-04 18:22:36)
Wesley Peachtree Group (WPG)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P36" authorId="0" shapeId="0" xr:uid="{00000000-0006-0000-0700-000001000000}">
      <text>
        <r>
          <rPr>
            <sz val="10"/>
            <color rgb="FF000000"/>
            <rFont val="Arial"/>
            <scheme val="minor"/>
          </rPr>
          <t>======
ID#AAAA8GOgEKg
Chiquetta West    (2023-10-04 18:37:12)
IB - $58.89</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P11" authorId="0" shapeId="0" xr:uid="{00000000-0006-0000-0900-000001000000}">
      <text>
        <r>
          <rPr>
            <sz val="10"/>
            <color rgb="FF000000"/>
            <rFont val="Arial"/>
            <scheme val="minor"/>
          </rPr>
          <t>======
ID#AAAA8GOgqns
Chiquetta West    (2023-10-04 19:55:35)
$250 - L. Settevendemie reim., $1k - Educ. Excellence Sup., $100.28 - L. Settevendemie, $185.69 - prof. devel., $147.50 - L. Settevendemie meals for NY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F9" authorId="0" shapeId="0" xr:uid="{00000000-0006-0000-0A00-000001000000}">
      <text>
        <r>
          <rPr>
            <sz val="10"/>
            <color rgb="FF000000"/>
            <rFont val="Arial"/>
            <scheme val="minor"/>
          </rPr>
          <t>Move to staff appreciation and purchase from G &amp; G
	-Chiquetta West</t>
        </r>
      </text>
    </comment>
    <comment ref="F14" authorId="0" shapeId="0" xr:uid="{00000000-0006-0000-0A00-000002000000}">
      <text>
        <r>
          <rPr>
            <sz val="10"/>
            <color rgb="FF000000"/>
            <rFont val="Arial"/>
            <scheme val="minor"/>
          </rPr>
          <t>Is this the same as what's in the MC budget?
	-Chiquetta West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L5" authorId="0" shapeId="0" xr:uid="{00000000-0006-0000-1600-000008000000}">
      <text>
        <r>
          <rPr>
            <sz val="10"/>
            <color rgb="FF000000"/>
            <rFont val="Arial"/>
            <scheme val="minor"/>
          </rPr>
          <t>Kickball
	-Chiquetta West</t>
        </r>
      </text>
    </comment>
    <comment ref="M5" authorId="0" shapeId="0" xr:uid="{00000000-0006-0000-1600-000007000000}">
      <text>
        <r>
          <rPr>
            <sz val="10"/>
            <color rgb="FF000000"/>
            <rFont val="Arial"/>
            <scheme val="minor"/>
          </rPr>
          <t>Kickball
	-Chiquetta West</t>
        </r>
      </text>
    </comment>
    <comment ref="Q5" authorId="0" shapeId="0" xr:uid="{00000000-0006-0000-1600-000006000000}">
      <text>
        <r>
          <rPr>
            <sz val="10"/>
            <color rgb="FF000000"/>
            <rFont val="Arial"/>
            <scheme val="minor"/>
          </rPr>
          <t>RWTW
	-Chiquetta West</t>
        </r>
      </text>
    </comment>
    <comment ref="R5" authorId="0" shapeId="0" xr:uid="{00000000-0006-0000-1600-000005000000}">
      <text>
        <r>
          <rPr>
            <sz val="10"/>
            <color rgb="FF000000"/>
            <rFont val="Arial"/>
            <scheme val="minor"/>
          </rPr>
          <t>RWTW
	-Chiquetta West</t>
        </r>
      </text>
    </comment>
    <comment ref="S5" authorId="0" shapeId="0" xr:uid="{00000000-0006-0000-1600-000004000000}">
      <text>
        <r>
          <rPr>
            <sz val="10"/>
            <color rgb="FF000000"/>
            <rFont val="Arial"/>
            <scheme val="minor"/>
          </rPr>
          <t>RWTW
	-Chiquetta West</t>
        </r>
      </text>
    </comment>
    <comment ref="T5" authorId="0" shapeId="0" xr:uid="{00000000-0006-0000-1600-000003000000}">
      <text>
        <r>
          <rPr>
            <sz val="10"/>
            <color rgb="FF000000"/>
            <rFont val="Arial"/>
            <scheme val="minor"/>
          </rPr>
          <t>Bingo
	-Chiquetta West</t>
        </r>
      </text>
    </comment>
    <comment ref="P10" authorId="0" shapeId="0" xr:uid="{00000000-0006-0000-1600-000001000000}">
      <text>
        <r>
          <rPr>
            <sz val="10"/>
            <color rgb="FF000000"/>
            <rFont val="Arial"/>
            <scheme val="minor"/>
          </rPr>
          <t>======
ID#AAAA6feq75c
Chiquetta West    (2023-10-05 14:54:54)
parent conference night</t>
        </r>
      </text>
    </comment>
    <comment ref="T18" authorId="0" shapeId="0" xr:uid="{00000000-0006-0000-1600-000002000000}">
      <text>
        <r>
          <rPr>
            <sz val="10"/>
            <color rgb="FF000000"/>
            <rFont val="Arial"/>
            <scheme val="minor"/>
          </rPr>
          <t>Titan fees
	-Chiquetta West</t>
        </r>
      </text>
    </comment>
  </commentList>
</comments>
</file>

<file path=xl/sharedStrings.xml><?xml version="1.0" encoding="utf-8"?>
<sst xmlns="http://schemas.openxmlformats.org/spreadsheetml/2006/main" count="1146" uniqueCount="595">
  <si>
    <t>Status</t>
  </si>
  <si>
    <t>Draft</t>
  </si>
  <si>
    <t>Year</t>
  </si>
  <si>
    <t>FY2025</t>
  </si>
  <si>
    <t>Date</t>
  </si>
  <si>
    <t>-</t>
  </si>
  <si>
    <t>Atlanta Neighborhood Charter School</t>
  </si>
  <si>
    <t># of Students</t>
  </si>
  <si>
    <t>ANCS</t>
  </si>
  <si>
    <t>FY21 Approved Budget</t>
  </si>
  <si>
    <t>Proposed Adjustments</t>
  </si>
  <si>
    <t>FY22</t>
  </si>
  <si>
    <t>Income</t>
  </si>
  <si>
    <t>Tab #</t>
  </si>
  <si>
    <t>APS Allocation</t>
  </si>
  <si>
    <t>$ -</t>
  </si>
  <si>
    <t>Grants and Other Governmental Funds</t>
  </si>
  <si>
    <t>Total Local/State Funding, Grants, State Allocations</t>
  </si>
  <si>
    <t>Annual Campaign &amp; Sponsorship</t>
  </si>
  <si>
    <t>Wonderball</t>
  </si>
  <si>
    <t>Total Contributions &amp; Fundraising</t>
  </si>
  <si>
    <t>Nutrition Program</t>
  </si>
  <si>
    <t>PTCA income</t>
  </si>
  <si>
    <t>Yearbook &amp; School Store</t>
  </si>
  <si>
    <t xml:space="preserve"> Chorus T-Shirt sales</t>
  </si>
  <si>
    <t xml:space="preserve"> Book Fair</t>
  </si>
  <si>
    <t>Performing Arts/Drama</t>
  </si>
  <si>
    <t>Field Trips</t>
  </si>
  <si>
    <t>Grade Level Trips</t>
  </si>
  <si>
    <t>Athletics</t>
  </si>
  <si>
    <t>MACAL</t>
  </si>
  <si>
    <t>AfterCare</t>
  </si>
  <si>
    <t>Total Program Income</t>
  </si>
  <si>
    <t>Other 
Income</t>
  </si>
  <si>
    <t>Interest Income</t>
  </si>
  <si>
    <t>Other</t>
  </si>
  <si>
    <t>Total Other Income</t>
  </si>
  <si>
    <t>Total Income</t>
  </si>
  <si>
    <t>Expense</t>
  </si>
  <si>
    <t>Salaries and Benefits</t>
  </si>
  <si>
    <t>Salaries &amp; Stipends</t>
  </si>
  <si>
    <t>Fringe Benefits</t>
  </si>
  <si>
    <t>Wellness Program Expense</t>
  </si>
  <si>
    <t>Total Salaries &amp; Benefits</t>
  </si>
  <si>
    <t>Staff Development</t>
  </si>
  <si>
    <t>Professional Development</t>
  </si>
  <si>
    <t>Total Staff Development</t>
  </si>
  <si>
    <t>Program Exp</t>
  </si>
  <si>
    <t>AfterCare Expenses</t>
  </si>
  <si>
    <t>Event Costs</t>
  </si>
  <si>
    <t>Field Trips, Grade Trips &amp; Bus Rental</t>
  </si>
  <si>
    <t>Nutrition Program Purchases (not including salary)</t>
  </si>
  <si>
    <t>PTCA Programs</t>
  </si>
  <si>
    <t>Total Program Expenses</t>
  </si>
  <si>
    <t>Curriculum &amp; Material</t>
  </si>
  <si>
    <t>Classroom Supplies</t>
  </si>
  <si>
    <t>Instructional Curriculum Materials</t>
  </si>
  <si>
    <t>Total Curriculum Materials &amp; Expenses</t>
  </si>
  <si>
    <t>Total Curriculum &amp; Program Expenses</t>
  </si>
  <si>
    <t>Building &amp; Grounds</t>
  </si>
  <si>
    <t>Utilities &amp; Services</t>
  </si>
  <si>
    <t>Pest Control</t>
  </si>
  <si>
    <t>Janitorial Services</t>
  </si>
  <si>
    <t>Janitorial Supplies</t>
  </si>
  <si>
    <t>Supplies &amp; Tools</t>
  </si>
  <si>
    <t>Building Mortgage</t>
  </si>
  <si>
    <t>Mobile Unit Lease (Net)</t>
  </si>
  <si>
    <t>Equipment Rental</t>
  </si>
  <si>
    <t>Grounds Maintenance</t>
  </si>
  <si>
    <t>Grounds Improvement</t>
  </si>
  <si>
    <t>Repairs / Maintenance</t>
  </si>
  <si>
    <t>Total Building Service &amp; Repairs/ Maintenance</t>
  </si>
  <si>
    <t>Farm</t>
  </si>
  <si>
    <t>Farm Supplies</t>
  </si>
  <si>
    <t>Total Farm</t>
  </si>
  <si>
    <t>Total Building &amp; Grounds/Farm Expenses</t>
  </si>
  <si>
    <t>Professsional Services</t>
  </si>
  <si>
    <t>Legal</t>
  </si>
  <si>
    <t>Accounting Services</t>
  </si>
  <si>
    <t>Auditing</t>
  </si>
  <si>
    <t>Transportation Services</t>
  </si>
  <si>
    <t>Other - Charter renewal</t>
  </si>
  <si>
    <t>Total Professional Services</t>
  </si>
  <si>
    <t>General Admin</t>
  </si>
  <si>
    <t>Annual Retreat</t>
  </si>
  <si>
    <t>Business Office</t>
  </si>
  <si>
    <t>Dues and Subscriptions</t>
  </si>
  <si>
    <t>Hospitality</t>
  </si>
  <si>
    <t>Insurance</t>
  </si>
  <si>
    <t>Licenses and Permits</t>
  </si>
  <si>
    <t>Marketing/Advertising</t>
  </si>
  <si>
    <t>Medical Supplies</t>
  </si>
  <si>
    <t>Office Supplies</t>
  </si>
  <si>
    <t>Paypal/Stripe/Square/Titan Fees</t>
  </si>
  <si>
    <t>Payroll Service Fees</t>
  </si>
  <si>
    <t>Postage and Delivery</t>
  </si>
  <si>
    <t>Printing &amp; Reproduction</t>
  </si>
  <si>
    <t>Principals Discretionary</t>
  </si>
  <si>
    <t>School Store</t>
  </si>
  <si>
    <t>Service Personnel</t>
  </si>
  <si>
    <t>Staff Appreciation and Gifts/Prizes/Gratuities</t>
  </si>
  <si>
    <t>Student &amp; School services</t>
  </si>
  <si>
    <t>Total Other Gen. Admin Expense</t>
  </si>
  <si>
    <t>Fundraising 
Expenses</t>
  </si>
  <si>
    <t>Fund Development Software</t>
  </si>
  <si>
    <t>Marketing/Direct Mail</t>
  </si>
  <si>
    <t>Other Events</t>
  </si>
  <si>
    <t>Total Fundraising Expenses</t>
  </si>
  <si>
    <t>Books/Equipment/Furniture/Technology</t>
  </si>
  <si>
    <t>Furniture</t>
  </si>
  <si>
    <t>Technology: Computers/Hardware</t>
  </si>
  <si>
    <t>Technology Supplies</t>
  </si>
  <si>
    <t>Telephone (land lines)</t>
  </si>
  <si>
    <t>Mobile phones</t>
  </si>
  <si>
    <t>Special Education Equipment</t>
  </si>
  <si>
    <t xml:space="preserve">Copier Lease </t>
  </si>
  <si>
    <t>Copier Supplies</t>
  </si>
  <si>
    <t>Total Books/Equipment/Furniture/Technology</t>
  </si>
  <si>
    <t>Reserve funds</t>
  </si>
  <si>
    <t>Total Reserve Funds</t>
  </si>
  <si>
    <t>Total Expenses</t>
  </si>
  <si>
    <t>Operating Income/Loss</t>
  </si>
  <si>
    <t>ATLANTA NEIGHBORHOOD CHARTER SCHOOL</t>
  </si>
  <si>
    <t>FY 2025 - Pro Forma Monthly Cash Flow Statement</t>
  </si>
  <si>
    <t>DRAFT BUDGET</t>
  </si>
  <si>
    <t>Allocation based on FTE Count = 628</t>
  </si>
  <si>
    <t>Revenue</t>
  </si>
  <si>
    <t>FY24 Budget</t>
  </si>
  <si>
    <t>FY24 Actuals                     (as of Dec. 2023)</t>
  </si>
  <si>
    <t>FY24 Projected Expenses                                   (Jan  - Jun)</t>
  </si>
  <si>
    <t>FY25 Budget Request</t>
  </si>
  <si>
    <t>FY25 vs FY24 Budget Variance</t>
  </si>
  <si>
    <t>FY2025 Budget Total</t>
  </si>
  <si>
    <t>APS Allocation Payment</t>
  </si>
  <si>
    <t>Other State, Local &amp; Federal Funding</t>
  </si>
  <si>
    <t>Federal Facility Grant</t>
  </si>
  <si>
    <t>State Facility Grants</t>
  </si>
  <si>
    <t>Security Grant</t>
  </si>
  <si>
    <t>DOE Nutrition Grant</t>
  </si>
  <si>
    <t>CARES/ESSER</t>
  </si>
  <si>
    <t>Title 2 Reimbursement</t>
  </si>
  <si>
    <t>Program Income</t>
  </si>
  <si>
    <t xml:space="preserve">    Aftercare</t>
  </si>
  <si>
    <t xml:space="preserve">    PTCA</t>
  </si>
  <si>
    <t xml:space="preserve">    Chorus T-Shirt sales</t>
  </si>
  <si>
    <t xml:space="preserve">    Book Fair</t>
  </si>
  <si>
    <t xml:space="preserve">    Yearbook &amp; School Store</t>
  </si>
  <si>
    <t xml:space="preserve">    Performing Arts/Drama</t>
  </si>
  <si>
    <t xml:space="preserve">    Grade &amp; Field Trips</t>
  </si>
  <si>
    <t xml:space="preserve">    Athletics</t>
  </si>
  <si>
    <t>Nutrition Program Income</t>
  </si>
  <si>
    <t>Other Income</t>
  </si>
  <si>
    <t>Interest &amp; Dividend Income</t>
  </si>
  <si>
    <t>Total Revenue</t>
  </si>
  <si>
    <t>Expenditures</t>
  </si>
  <si>
    <t xml:space="preserve">    Salaries</t>
  </si>
  <si>
    <t xml:space="preserve">     Tenure Bonus</t>
  </si>
  <si>
    <t xml:space="preserve">     Stipends </t>
  </si>
  <si>
    <t xml:space="preserve">        Aftercare - EC</t>
  </si>
  <si>
    <t xml:space="preserve">        Aftercare - MC</t>
  </si>
  <si>
    <t xml:space="preserve">        Athletics</t>
  </si>
  <si>
    <t xml:space="preserve">        Saturday/Summer School Curriculum</t>
  </si>
  <si>
    <t xml:space="preserve">        Diversity</t>
  </si>
  <si>
    <t xml:space="preserve">        Kindergarten Roundup</t>
  </si>
  <si>
    <t xml:space="preserve">        MACAL</t>
  </si>
  <si>
    <t xml:space="preserve">        Retention Stipend</t>
  </si>
  <si>
    <t xml:space="preserve">        Power30</t>
  </si>
  <si>
    <t xml:space="preserve">        Other </t>
  </si>
  <si>
    <t xml:space="preserve">    Wellness</t>
  </si>
  <si>
    <t xml:space="preserve">    Payroll taxes</t>
  </si>
  <si>
    <t xml:space="preserve">    Workers Compensation</t>
  </si>
  <si>
    <t xml:space="preserve">    Teacher's Retirement System</t>
  </si>
  <si>
    <t xml:space="preserve">    Health Insurance Premium</t>
  </si>
  <si>
    <t>Curriculum &amp; Classroom Expenses</t>
  </si>
  <si>
    <t xml:space="preserve">     Student Programming</t>
  </si>
  <si>
    <t xml:space="preserve">    Curriculum Materials</t>
  </si>
  <si>
    <t xml:space="preserve">    Classroom Supplies</t>
  </si>
  <si>
    <t xml:space="preserve">          Campuswide - EC</t>
  </si>
  <si>
    <t xml:space="preserve">          Campuswide - MC</t>
  </si>
  <si>
    <t xml:space="preserve">         Kindergarten</t>
  </si>
  <si>
    <t xml:space="preserve">         1st Grade</t>
  </si>
  <si>
    <t xml:space="preserve">         2nd Grade</t>
  </si>
  <si>
    <t xml:space="preserve">         3rd Grade</t>
  </si>
  <si>
    <t xml:space="preserve">         4th Grade</t>
  </si>
  <si>
    <t xml:space="preserve">         5th Grade</t>
  </si>
  <si>
    <t xml:space="preserve">         Related Arts (Arts, Music, PE)</t>
  </si>
  <si>
    <t xml:space="preserve">         Academic Assistance</t>
  </si>
  <si>
    <t xml:space="preserve">         Learning Lab</t>
  </si>
  <si>
    <t xml:space="preserve">         Instructional Technology</t>
  </si>
  <si>
    <t xml:space="preserve">        Arts (Performing &amp; Visual)</t>
  </si>
  <si>
    <t xml:space="preserve">        Design</t>
  </si>
  <si>
    <t xml:space="preserve">        Individuals &amp; Societies</t>
  </si>
  <si>
    <t xml:space="preserve">        Language &amp; Literature</t>
  </si>
  <si>
    <t xml:space="preserve">        Mathematics</t>
  </si>
  <si>
    <t xml:space="preserve">        Physical &amp; Health Education</t>
  </si>
  <si>
    <t xml:space="preserve">        Science</t>
  </si>
  <si>
    <t xml:space="preserve">        Spanish</t>
  </si>
  <si>
    <t xml:space="preserve">        Instructional Coach</t>
  </si>
  <si>
    <t xml:space="preserve">        MYP</t>
  </si>
  <si>
    <t xml:space="preserve">        ESS</t>
  </si>
  <si>
    <t xml:space="preserve">        ESOL</t>
  </si>
  <si>
    <t xml:space="preserve">        Guidance/School Counselor</t>
  </si>
  <si>
    <t xml:space="preserve">        Farm Education</t>
  </si>
  <si>
    <t xml:space="preserve">        Media Center - EC</t>
  </si>
  <si>
    <t xml:space="preserve">        Media Center - MC</t>
  </si>
  <si>
    <t>Program Expenses</t>
  </si>
  <si>
    <t xml:space="preserve">    Field Trips</t>
  </si>
  <si>
    <t xml:space="preserve">    Grade Level Trips</t>
  </si>
  <si>
    <t xml:space="preserve">    Bus Rental</t>
  </si>
  <si>
    <t xml:space="preserve">    Athletics Program</t>
  </si>
  <si>
    <t xml:space="preserve">    MACAL Athletics</t>
  </si>
  <si>
    <t xml:space="preserve">    Event Costs</t>
  </si>
  <si>
    <r>
      <rPr>
        <b/>
        <sz val="10"/>
        <color rgb="FF000000"/>
        <rFont val="Calibri"/>
      </rPr>
      <t xml:space="preserve">    </t>
    </r>
    <r>
      <rPr>
        <sz val="10"/>
        <color rgb="FF000000"/>
        <rFont val="Calibri"/>
      </rPr>
      <t>PTCA Programs</t>
    </r>
  </si>
  <si>
    <t>Nutrition Program Expenses</t>
  </si>
  <si>
    <t xml:space="preserve">    Food Purchases</t>
  </si>
  <si>
    <t xml:space="preserve">    Milk Purchases</t>
  </si>
  <si>
    <t xml:space="preserve">    Kitchen Supplies &amp; Equipment</t>
  </si>
  <si>
    <t xml:space="preserve">    Mobile Unit Rental</t>
  </si>
  <si>
    <t xml:space="preserve">    Mortgage Interest</t>
  </si>
  <si>
    <t xml:space="preserve">    Pest Control</t>
  </si>
  <si>
    <t xml:space="preserve">    Janitorial Supplies</t>
  </si>
  <si>
    <t xml:space="preserve">    Janitorial Fees</t>
  </si>
  <si>
    <t xml:space="preserve">    Utilities &amp; Services</t>
  </si>
  <si>
    <t xml:space="preserve">        Utilities</t>
  </si>
  <si>
    <t xml:space="preserve">         Alarm inspections</t>
  </si>
  <si>
    <t xml:space="preserve">         Internet</t>
  </si>
  <si>
    <t xml:space="preserve">         Sanitation/Recycling</t>
  </si>
  <si>
    <t xml:space="preserve">    Equipment Rental</t>
  </si>
  <si>
    <t xml:space="preserve">    Grounds Maintenance</t>
  </si>
  <si>
    <t xml:space="preserve">     Grounds Improvement (Turf, drainage, Shade Structure)</t>
  </si>
  <si>
    <t xml:space="preserve">    Repair &amp; Maintenance</t>
  </si>
  <si>
    <t xml:space="preserve">        Painting</t>
  </si>
  <si>
    <t xml:space="preserve">        Fence/Gate</t>
  </si>
  <si>
    <t xml:space="preserve">        Elevator</t>
  </si>
  <si>
    <t xml:space="preserve">        Electrical</t>
  </si>
  <si>
    <t xml:space="preserve">        Equipment</t>
  </si>
  <si>
    <t xml:space="preserve">        Plumbing</t>
  </si>
  <si>
    <t xml:space="preserve">        HVAC</t>
  </si>
  <si>
    <t xml:space="preserve">        Building</t>
  </si>
  <si>
    <t xml:space="preserve">        Floors</t>
  </si>
  <si>
    <t xml:space="preserve">        Supplies &amp; Tools</t>
  </si>
  <si>
    <t xml:space="preserve">        Maintenance contract</t>
  </si>
  <si>
    <t xml:space="preserve">        Van Repairs</t>
  </si>
  <si>
    <t xml:space="preserve">     Farm Expenses</t>
  </si>
  <si>
    <t xml:space="preserve">    Repair &amp; Maintenance - Farm</t>
  </si>
  <si>
    <t>Professional Services</t>
  </si>
  <si>
    <t xml:space="preserve">      Accounting</t>
  </si>
  <si>
    <t xml:space="preserve">      Auditing</t>
  </si>
  <si>
    <t xml:space="preserve">      Legal</t>
  </si>
  <si>
    <t xml:space="preserve">      Transportation Services</t>
  </si>
  <si>
    <t xml:space="preserve">      Other - Charter Renewal</t>
  </si>
  <si>
    <t>Gen&amp;Admin/Insurance/Interest</t>
  </si>
  <si>
    <t xml:space="preserve">    Background Checks</t>
  </si>
  <si>
    <t xml:space="preserve">    Annual Retreat</t>
  </si>
  <si>
    <t xml:space="preserve">    Bank Charges</t>
  </si>
  <si>
    <t xml:space="preserve">    Dues &amp; Subscriptions</t>
  </si>
  <si>
    <t xml:space="preserve">    Gifts/Prizes/Gratuities</t>
  </si>
  <si>
    <t xml:space="preserve">    Hospitality</t>
  </si>
  <si>
    <t xml:space="preserve">    Insurance</t>
  </si>
  <si>
    <t xml:space="preserve">    Licenses &amp; Permits</t>
  </si>
  <si>
    <t xml:space="preserve">    Marketing/Advertising</t>
  </si>
  <si>
    <t xml:space="preserve">    Marta cards &amp; other student svcs</t>
  </si>
  <si>
    <t xml:space="preserve">    Medical Supplies</t>
  </si>
  <si>
    <t xml:space="preserve">    Mileage</t>
  </si>
  <si>
    <t xml:space="preserve">    Outreach and Recruitment</t>
  </si>
  <si>
    <t xml:space="preserve">    Paypal/Stripe/Square/Titan Fees</t>
  </si>
  <si>
    <t xml:space="preserve">    Payroll Service Fees</t>
  </si>
  <si>
    <t xml:space="preserve">    Postage &amp; Delivery</t>
  </si>
  <si>
    <t xml:space="preserve">    Principals Discretionary</t>
  </si>
  <si>
    <t xml:space="preserve">    Printing &amp; Reproduction</t>
  </si>
  <si>
    <t xml:space="preserve">    School Store</t>
  </si>
  <si>
    <t xml:space="preserve">    Service Personnel</t>
  </si>
  <si>
    <t xml:space="preserve">    Staff Appreciation</t>
  </si>
  <si>
    <t xml:space="preserve">    Staff Appreciation - Room Parents</t>
  </si>
  <si>
    <t xml:space="preserve">    Storage unit</t>
  </si>
  <si>
    <t xml:space="preserve">    Supplies</t>
  </si>
  <si>
    <t xml:space="preserve">    Wellness Initiatives</t>
  </si>
  <si>
    <t xml:space="preserve">    Undistributed Expenses</t>
  </si>
  <si>
    <t>Fundraising Expenses</t>
  </si>
  <si>
    <t>Books/Furn/Equip/Technology</t>
  </si>
  <si>
    <t xml:space="preserve">        Copier Lease</t>
  </si>
  <si>
    <t xml:space="preserve">        Copier Supplies</t>
  </si>
  <si>
    <t xml:space="preserve">    Furniture</t>
  </si>
  <si>
    <r>
      <rPr>
        <sz val="10"/>
        <color rgb="FF000000"/>
        <rFont val="Calibri"/>
      </rPr>
      <t xml:space="preserve">    </t>
    </r>
    <r>
      <rPr>
        <sz val="10"/>
        <color rgb="FF000000"/>
        <rFont val="Calibri"/>
      </rPr>
      <t>Equipment</t>
    </r>
  </si>
  <si>
    <t xml:space="preserve">    Technology </t>
  </si>
  <si>
    <t xml:space="preserve">        Telephone (land lines)</t>
  </si>
  <si>
    <t xml:space="preserve">        Cell Phones</t>
  </si>
  <si>
    <t xml:space="preserve">        Supplies</t>
  </si>
  <si>
    <t xml:space="preserve">        Equipment: computers/hardware</t>
  </si>
  <si>
    <t>Emergency Reserve Fund</t>
  </si>
  <si>
    <t>Total Expenditures</t>
  </si>
  <si>
    <t>Total Revenues - Total Expenditures</t>
  </si>
  <si>
    <t>EOM Cash Balance</t>
  </si>
  <si>
    <r>
      <rPr>
        <sz val="10"/>
        <color rgb="FF000000"/>
        <rFont val="Calibri"/>
      </rPr>
      <t xml:space="preserve">See </t>
    </r>
    <r>
      <rPr>
        <b/>
        <sz val="10"/>
        <color rgb="FFFF0000"/>
        <rFont val="Calibri (Body)_x0000_"/>
      </rPr>
      <t>NOTE</t>
    </r>
    <r>
      <rPr>
        <sz val="10"/>
        <color rgb="FF000000"/>
        <rFont val="Calibri"/>
      </rPr>
      <t xml:space="preserve"> below</t>
    </r>
  </si>
  <si>
    <t>Actual</t>
  </si>
  <si>
    <t>Projected</t>
  </si>
  <si>
    <r>
      <rPr>
        <b/>
        <i/>
        <sz val="10"/>
        <color rgb="FFFF0000"/>
        <rFont val="Calibri (Body)_x0000_"/>
      </rPr>
      <t>Note</t>
    </r>
    <r>
      <rPr>
        <i/>
        <sz val="10"/>
        <color rgb="FF000000"/>
        <rFont val="Calibri"/>
      </rPr>
      <t>:  Adjusted to reflect only South State Bank operating accounts, initially as of July 1st. Not including $823K of investments</t>
    </r>
  </si>
  <si>
    <t>FY 2025 - Executive Director (includes Director of School Services)</t>
  </si>
  <si>
    <t>Explanation of Changes                                                                                                                      (FY25 vs FY24 Budget)</t>
  </si>
  <si>
    <t>General &amp; Administrative</t>
  </si>
  <si>
    <t>Transferred from Central Admin</t>
  </si>
  <si>
    <t xml:space="preserve">   Gifts/Prizes/Gratuities</t>
  </si>
  <si>
    <t>Total Central Office Budget</t>
  </si>
  <si>
    <t>FY 2025 - Governing Board</t>
  </si>
  <si>
    <t>Subscriptions - Board on Track</t>
  </si>
  <si>
    <t>Total Middle Campus Budget</t>
  </si>
  <si>
    <t>FY 2025 - School Services &amp; Community Engagement</t>
  </si>
  <si>
    <t xml:space="preserve">    Transportation Services</t>
  </si>
  <si>
    <t>New service being offered to students; includes daily pick-ups, drop-offs and field trips</t>
  </si>
  <si>
    <t>FY 2025 - Central Office</t>
  </si>
  <si>
    <t>Based on 97% of current allocation</t>
  </si>
  <si>
    <t>Federal Facility Grants</t>
  </si>
  <si>
    <t>Newly establshed state school security grant program</t>
  </si>
  <si>
    <t>All funds from CARES have been received.  Grant ended June 2024</t>
  </si>
  <si>
    <t>Didnt not budgeted for in FY24. Budget projection based Money Market rate</t>
  </si>
  <si>
    <t>Salaries &amp; Benefits</t>
  </si>
  <si>
    <t xml:space="preserve">        Regular</t>
  </si>
  <si>
    <t>Salary increase due to salary study to align with APS salaries</t>
  </si>
  <si>
    <t xml:space="preserve">        Substitutes (teachers &amp; nurses)</t>
  </si>
  <si>
    <t>Not previously budgeted</t>
  </si>
  <si>
    <t xml:space="preserve">    Tenure Bonus</t>
  </si>
  <si>
    <t>Didnt not budgeted for in FY24. Budget projection based on tenure list</t>
  </si>
  <si>
    <t xml:space="preserve">    Stipends - Retention stipend</t>
  </si>
  <si>
    <t xml:space="preserve">    Stipends - Power30</t>
  </si>
  <si>
    <t>Line item decrease due to personnel changes in salaries</t>
  </si>
  <si>
    <t xml:space="preserve">    Stipends - Other </t>
  </si>
  <si>
    <t>School activities and other stipends</t>
  </si>
  <si>
    <t>Increase in staff in FY25 will increase Wellness Reimbursement</t>
  </si>
  <si>
    <t xml:space="preserve">    Payroll taxes (FICA &amp; Medicare)</t>
  </si>
  <si>
    <t>Increase in payroll taxes due to salary increase</t>
  </si>
  <si>
    <t xml:space="preserve">    Worker's Compensation</t>
  </si>
  <si>
    <t xml:space="preserve">Premium has increased.  This reflects a slight increase for FY25 </t>
  </si>
  <si>
    <t xml:space="preserve">    Teacher's Compensation Insur</t>
  </si>
  <si>
    <t>TRS ER contrubition rates increase to 20.78%</t>
  </si>
  <si>
    <t xml:space="preserve">Premium has increased. </t>
  </si>
  <si>
    <r>
      <rPr>
        <b/>
        <sz val="10"/>
        <color rgb="FF000000"/>
        <rFont val="Calibri"/>
      </rPr>
      <t xml:space="preserve">     </t>
    </r>
    <r>
      <rPr>
        <sz val="10"/>
        <color rgb="FF000000"/>
        <rFont val="Calibri"/>
      </rPr>
      <t>Classroom Supplies</t>
    </r>
  </si>
  <si>
    <t xml:space="preserve">     Curriculum Materials</t>
  </si>
  <si>
    <t xml:space="preserve">This line change due to increase in legal consultation </t>
  </si>
  <si>
    <t>Overestimated in FY24 budget. No longer using accounting services</t>
  </si>
  <si>
    <t>We underestimated in FY24 budget. Includes Audit and Tax Return</t>
  </si>
  <si>
    <t>Didnt not budgeted for in FY24. Funds captured in EC and MC budget</t>
  </si>
  <si>
    <t xml:space="preserve">This line increased due to consolidation </t>
  </si>
  <si>
    <t>Didnt not budgeted for in FY24. Budget projection based on FY24 actuals</t>
  </si>
  <si>
    <t>Moved to Exec Director department</t>
  </si>
  <si>
    <t>Increased premium slightly</t>
  </si>
  <si>
    <t>No changes</t>
  </si>
  <si>
    <t>Didnt not budgeted for in FY24. Budget projection based on FY24 actuals. We have expandded due to ANCS New Volunteer policy</t>
  </si>
  <si>
    <t xml:space="preserve">    Supplies  </t>
  </si>
  <si>
    <t>Services fees will increase due to the increases in salaries</t>
  </si>
  <si>
    <t>*may change depending on PTCA; covered in Exec Dir budget</t>
  </si>
  <si>
    <t>decrease due FY24 actuals</t>
  </si>
  <si>
    <t xml:space="preserve">    Undisputed Expenses - Credit Card</t>
  </si>
  <si>
    <t xml:space="preserve">      Copier Lease</t>
  </si>
  <si>
    <t>Per current lease</t>
  </si>
  <si>
    <t xml:space="preserve">     Copier Supplies</t>
  </si>
  <si>
    <t xml:space="preserve">     Furniture</t>
  </si>
  <si>
    <t>APS buyback for crossing guards</t>
  </si>
  <si>
    <t>FY 2025 - Aftercare - EC</t>
  </si>
  <si>
    <t>Aftercare</t>
  </si>
  <si>
    <t>Increase cost of AfterCare to $25/day &amp; $13/per sibling</t>
  </si>
  <si>
    <t>Stipends</t>
  </si>
  <si>
    <t>Supplies</t>
  </si>
  <si>
    <t xml:space="preserve">Increase in cost of supplies and amount needed </t>
  </si>
  <si>
    <t>Total Elementary Campus Budget</t>
  </si>
  <si>
    <t>FY 2025 - Middle Campus</t>
  </si>
  <si>
    <t>Drama plays; two plays anticipated</t>
  </si>
  <si>
    <t>Grade Trips</t>
  </si>
  <si>
    <t>Budget cut for FY24</t>
  </si>
  <si>
    <t>Program Expense</t>
  </si>
  <si>
    <t>Heritage Celebration &amp; Affinity Group activities/performances</t>
  </si>
  <si>
    <t xml:space="preserve">         Heritage Celebration</t>
  </si>
  <si>
    <t xml:space="preserve">         Afinity Groups</t>
  </si>
  <si>
    <t>Curriculum &amp; Classroom Materials</t>
  </si>
  <si>
    <t>To be included as part of supplies</t>
  </si>
  <si>
    <t>Includes budget for musicals</t>
  </si>
  <si>
    <t>includes stipends for Wolf prep - $1,400; remaining amount for supplies and materials</t>
  </si>
  <si>
    <t>Budget in ESS department</t>
  </si>
  <si>
    <t xml:space="preserve">       School Counselor</t>
  </si>
  <si>
    <t xml:space="preserve">       Campuswide -MC</t>
  </si>
  <si>
    <t xml:space="preserve">    Dues, Fees &amp; Subscriptions</t>
  </si>
  <si>
    <t>IB visit fee and materials ($3700 + $500)</t>
  </si>
  <si>
    <t xml:space="preserve">    Principals Discretion</t>
  </si>
  <si>
    <t>Funds for principals to spend at their discretion on items such as staff appreciation</t>
  </si>
  <si>
    <t xml:space="preserve">    Printing/Reproduction</t>
  </si>
  <si>
    <t xml:space="preserve">    Student Services (Marta cards, clothes, etc.)</t>
  </si>
  <si>
    <t xml:space="preserve">    Operations Supplies</t>
  </si>
  <si>
    <t>FY 2025 - Aftercare - Middle Campus</t>
  </si>
  <si>
    <t>* Paid enrolled dropped to demand for payment and Boys and Girls Club transfers   *High number of scholarships /ratio of paid vs. scholarship.</t>
  </si>
  <si>
    <t>FY25 removing 1 additional staff on low days.</t>
  </si>
  <si>
    <t>Would like to include clubs sponsored by school staff, where aftercare will provide supplies</t>
  </si>
  <si>
    <t>* 12 full pay students $15/ 5 Sibiling Pay $10</t>
  </si>
  <si>
    <t xml:space="preserve">* # does not account for scholarships  180 days x 10 studetnts x $15 per day = $27,000 </t>
  </si>
  <si>
    <t>FY 2025 - Elementary Campus</t>
  </si>
  <si>
    <t>Chorus</t>
  </si>
  <si>
    <t xml:space="preserve">Chorus T shirts, date purchased? </t>
  </si>
  <si>
    <r>
      <rPr>
        <sz val="10"/>
        <rFont val="Calibri, Arial"/>
      </rPr>
      <t>Estimated Costs  PD trips , but mostly Sept-March and Teacher's College which goes until May.</t>
    </r>
    <r>
      <rPr>
        <u/>
        <sz val="10"/>
        <color rgb="FF1155CC"/>
        <rFont val="Calibri, Arial"/>
      </rPr>
      <t xml:space="preserve"> Link to PD Spreadshee</t>
    </r>
    <r>
      <rPr>
        <sz val="10"/>
        <rFont val="Calibri, Arial"/>
      </rPr>
      <t>t</t>
    </r>
  </si>
  <si>
    <r>
      <rPr>
        <sz val="10"/>
        <rFont val="Calibri, Arial"/>
      </rPr>
      <t xml:space="preserve"> Field Trips range from $10-$20 per student, including in house trips, parent drivers help. $5,000 per grade level would be equitable</t>
    </r>
    <r>
      <rPr>
        <u/>
        <sz val="10"/>
        <color rgb="FF1155CC"/>
        <rFont val="Calibri, Arial"/>
      </rPr>
      <t>. Link to Field Trip Budge</t>
    </r>
    <r>
      <rPr>
        <sz val="10"/>
        <rFont val="Calibri, Arial"/>
      </rPr>
      <t xml:space="preserve">t </t>
    </r>
  </si>
  <si>
    <t>5th Grade to Fortson 4H- approximately $6,000, includes charter bus</t>
  </si>
  <si>
    <t xml:space="preserve">APS School bus rental </t>
  </si>
  <si>
    <t xml:space="preserve"> Materials ordered are for whole school and individual classrooms, broken down that way?  NIcole purchases </t>
  </si>
  <si>
    <t xml:space="preserve">    Instructional Curriculum</t>
  </si>
  <si>
    <t xml:space="preserve"> Nicole King places orders, can we combine this line item? includes curriculum supplies for grade levels budget</t>
  </si>
  <si>
    <r>
      <rPr>
        <sz val="10"/>
        <rFont val="Calibri, Arial"/>
      </rPr>
      <t>All classroom spending, including books for classroom libraries, supplies, furniture, workbooks</t>
    </r>
    <r>
      <rPr>
        <u/>
        <sz val="10"/>
        <color rgb="FF1155CC"/>
        <rFont val="Calibri, Arial"/>
      </rPr>
      <t xml:space="preserve"> Link to purchasing budge</t>
    </r>
    <r>
      <rPr>
        <sz val="10"/>
        <rFont val="Calibri, Arial"/>
      </rPr>
      <t>t</t>
    </r>
  </si>
  <si>
    <t xml:space="preserve">I anticipate less than what is listed based on the time of year, but wanted to cushion. </t>
  </si>
  <si>
    <t xml:space="preserve">         ESOL</t>
  </si>
  <si>
    <t>PE- end of year and Art uses consumables.  Includes budget for Winter Wonderland</t>
  </si>
  <si>
    <t xml:space="preserve">         Guidance Counselor</t>
  </si>
  <si>
    <t xml:space="preserve">Does not need as much as I thought. </t>
  </si>
  <si>
    <t xml:space="preserve">         Instructional Coaches</t>
  </si>
  <si>
    <t>Useful for various items for their coaching process</t>
  </si>
  <si>
    <t xml:space="preserve">         Campuswide - EC</t>
  </si>
  <si>
    <t>Copy paper and laminating film.  Moved to Supplies</t>
  </si>
  <si>
    <t>MK has list for subscriptions, not sure when renewals are</t>
  </si>
  <si>
    <t xml:space="preserve">holiday helpers for EC &amp; MC? included here? Gift cards for summer break? </t>
  </si>
  <si>
    <t xml:space="preserve">    Staff appreciation</t>
  </si>
  <si>
    <t>Front Desk supplies, tissues, paper towels, wipes, supplies for workroom and desk, teacher's lounge supplies, bathroom supplies, batteries, stamps .  If this line item is merged to include copy paper and laminating film. I will include the estimate for the remaining part of this school year and for next year. Many purchases in this line item were for other people who will have their own budgets for '25</t>
  </si>
  <si>
    <t>Leigh Hicks orders her supplies, have inquired about her needs, no response yet as of 2/1</t>
  </si>
  <si>
    <t>FY 2025 - Diversity</t>
  </si>
  <si>
    <t>FY24 funds not budgeted due to being new.  Small Stipends for Celebrations Committee leaders</t>
  </si>
  <si>
    <t>FY24 funds not budgeted due to being new.</t>
  </si>
  <si>
    <t>Curriculum Materials</t>
  </si>
  <si>
    <t>FY24 funds not budgeted due to being new.  This amount accounts for the books needed for in-house PD workshops &amp; affinity clubs</t>
  </si>
  <si>
    <t>Staff appreciation</t>
  </si>
  <si>
    <t>FY24 funds not budgeted due to being new.  To account for small appreciations gifts for the 20 circle facilitators</t>
  </si>
  <si>
    <t>FY24 funds not budgeted due to being new.  Wanted to have a small budget for when we meet with community members</t>
  </si>
  <si>
    <t>Student Programming</t>
  </si>
  <si>
    <t>New budget line for Student Affinity Clubs, allots $20/student per year</t>
  </si>
  <si>
    <t>Split $6k in half between supplies &amp; curriculum costs</t>
  </si>
  <si>
    <t>ATLANTA NEIGHBORHOOD CHARTER SCHOOLE</t>
  </si>
  <si>
    <t>FY 2025 - ESS</t>
  </si>
  <si>
    <t xml:space="preserve">        Kindergarten Round-up</t>
  </si>
  <si>
    <t xml:space="preserve">         ESS</t>
  </si>
  <si>
    <t xml:space="preserve">         SST/504</t>
  </si>
  <si>
    <t xml:space="preserve">         Kindergarten Roundup</t>
  </si>
  <si>
    <t>Books, Furniture &amp; Equipment</t>
  </si>
  <si>
    <r>
      <rPr>
        <sz val="10"/>
        <color rgb="FF000000"/>
        <rFont val="Calibri"/>
      </rPr>
      <t xml:space="preserve">    </t>
    </r>
    <r>
      <rPr>
        <sz val="10"/>
        <color rgb="FF000000"/>
        <rFont val="Calibri"/>
      </rPr>
      <t>Equipment</t>
    </r>
  </si>
  <si>
    <t>Don't anticipate needing as much furniture</t>
  </si>
  <si>
    <t>Total Support Services Budget</t>
  </si>
  <si>
    <t>FY 2025 - Security</t>
  </si>
  <si>
    <t>Training and certifications;  funds not previously budgeted due to  change from private to ANCS</t>
  </si>
  <si>
    <t>Uniforms, supplies and APF radios; funds not previously budget due to change from private to ANCS</t>
  </si>
  <si>
    <t>Total Security Budget</t>
  </si>
  <si>
    <t>FY 2025 - Marketing &amp; Communications</t>
  </si>
  <si>
    <t>Yearbook sales</t>
  </si>
  <si>
    <t>1st year charging for books</t>
  </si>
  <si>
    <t>Yearbook pictures</t>
  </si>
  <si>
    <t>Transferred from PTCA</t>
  </si>
  <si>
    <t xml:space="preserve">    School store</t>
  </si>
  <si>
    <t>Responsibility transferred from PTCA; budget reduced due to smaller purchasing items</t>
  </si>
  <si>
    <t xml:space="preserve">    Supplies - tshirts</t>
  </si>
  <si>
    <t xml:space="preserve">          T-Shirts</t>
  </si>
  <si>
    <t>Culture celebration, field day and employee school shirt</t>
  </si>
  <si>
    <t xml:space="preserve">           GPSF Day</t>
  </si>
  <si>
    <t>Grandparents/Special Friends Day supplies</t>
  </si>
  <si>
    <t xml:space="preserve">    Software Subscriptions</t>
  </si>
  <si>
    <t>Total Mar Comm Budget</t>
  </si>
  <si>
    <t>FY 2025 - Gather &amp; Grow</t>
  </si>
  <si>
    <t>Contributions &amp; Fundraising</t>
  </si>
  <si>
    <t xml:space="preserve">    Annual Campaign &amp; Sponsorships</t>
  </si>
  <si>
    <t xml:space="preserve">    Wonderball</t>
  </si>
  <si>
    <t>Fundraising Expense</t>
  </si>
  <si>
    <t xml:space="preserve">    Direct Mail</t>
  </si>
  <si>
    <t xml:space="preserve">    Fund Development Software</t>
  </si>
  <si>
    <t xml:space="preserve">    Other (Donor event)</t>
  </si>
  <si>
    <t>Total Gather &amp; Grow Budget</t>
  </si>
  <si>
    <t>FY 2025 - Nutrition</t>
  </si>
  <si>
    <t xml:space="preserve">    DOE Nutrition Grant</t>
  </si>
  <si>
    <t xml:space="preserve">    Nutrition Program</t>
  </si>
  <si>
    <t xml:space="preserve">    Other Income</t>
  </si>
  <si>
    <t>Food Purchases</t>
  </si>
  <si>
    <t xml:space="preserve">     Program foods (breakfast &amp; lunch)</t>
  </si>
  <si>
    <t xml:space="preserve">     Non-program: snack, board meals</t>
  </si>
  <si>
    <t>Previously part of food purchases.  Broken out to assist with State reporting</t>
  </si>
  <si>
    <t xml:space="preserve">     Non-program: other (coffee, tea)</t>
  </si>
  <si>
    <t xml:space="preserve">     Milk Purchases</t>
  </si>
  <si>
    <t>eliminated milk purchases as a category.  Part of food purchases</t>
  </si>
  <si>
    <t>Kitchen Supplies &amp; Equipment</t>
  </si>
  <si>
    <t>based off of sy2024 actuals.  Includes utensils and equipment repair/replacement</t>
  </si>
  <si>
    <t>Buildings &amp; Grounds</t>
  </si>
  <si>
    <r>
      <rPr>
        <b/>
        <sz val="10"/>
        <color rgb="FF000000"/>
        <rFont val="Calibri"/>
      </rPr>
      <t xml:space="preserve">    </t>
    </r>
    <r>
      <rPr>
        <sz val="10"/>
        <color rgb="FF000000"/>
        <rFont val="Calibri"/>
      </rPr>
      <t>Utilities</t>
    </r>
  </si>
  <si>
    <t xml:space="preserve">        Sanitation</t>
  </si>
  <si>
    <t xml:space="preserve">        Recycling</t>
  </si>
  <si>
    <t xml:space="preserve">    Repair &amp; Maintenance - Kitchen</t>
  </si>
  <si>
    <t xml:space="preserve">    Permits</t>
  </si>
  <si>
    <t xml:space="preserve">    Software Subscriptions       </t>
  </si>
  <si>
    <t>Total Nutrition Program Budget</t>
  </si>
  <si>
    <t>FY 2025 - EC Facilities</t>
  </si>
  <si>
    <t>Monthly lease paymentsfor the farm trailer will increase 15% in Feb. And  the meeting trailer monthly lease payment will increase 15 % in July.</t>
  </si>
  <si>
    <t>FY 24 includes a termite treatment that wasn't budgeted for.</t>
  </si>
  <si>
    <t>5% increase from FY24. FY24 Budet number was incorrect.</t>
  </si>
  <si>
    <t>INFLATION!!!!</t>
  </si>
  <si>
    <t>Fire Panel systems inspection EC &amp; MC / Monitoring for fire &amp; security system EC &amp; MC/ Repairs</t>
  </si>
  <si>
    <t xml:space="preserve">        Internet</t>
  </si>
  <si>
    <t xml:space="preserve">        Sanitation/Recycling</t>
  </si>
  <si>
    <t>FY24 budget did not include composting or recycling at either campus. FY 25 budget does.</t>
  </si>
  <si>
    <t xml:space="preserve">     Equipment Rental</t>
  </si>
  <si>
    <t>This number covers the lift rental to paint the overhang around the building.</t>
  </si>
  <si>
    <t>$20,400.00 Landscape maintenance 1,700/mo + 10,000 for any tree trimming or removal</t>
  </si>
  <si>
    <t>Upper Playground - Turf/Shade Structures/Drainage; to be reviewed for FY26</t>
  </si>
  <si>
    <t xml:space="preserve">        Painting/sealing</t>
  </si>
  <si>
    <t>Paint the third floor hallway walls and ceiling. Repair-Prime-Paint the upper overhang on the outside of the building; also includes repair of overhang</t>
  </si>
  <si>
    <t>125.00/quarter PM's + repairs</t>
  </si>
  <si>
    <t>1028.00 every two monthsr+7997 repair=14,165.00.  Bi-monthly price increase + cellular communicator</t>
  </si>
  <si>
    <t>Budget for possible repairs needed.</t>
  </si>
  <si>
    <t>$280,000 If we want to complete all 11 remaining RTU's. It would save approximattely $20,000.00 on helicopter fees.; replacements to be planned for FY26</t>
  </si>
  <si>
    <t xml:space="preserve">        Maintenance / PM Inspection, fire safety systems / Hvac</t>
  </si>
  <si>
    <t>Lowes purchases and Amazon purchases for school</t>
  </si>
  <si>
    <t xml:space="preserve">    MIleage</t>
  </si>
  <si>
    <t xml:space="preserve">   Staff Appreciation</t>
  </si>
  <si>
    <t>Total Building &amp; Grounds - EC Budget</t>
  </si>
  <si>
    <t>Capital Expenses</t>
  </si>
  <si>
    <t xml:space="preserve">    Leasehold Improvements </t>
  </si>
  <si>
    <t xml:space="preserve">        Turf installation</t>
  </si>
  <si>
    <t xml:space="preserve">        Farm</t>
  </si>
  <si>
    <t>FY 2025 - MC Facilities</t>
  </si>
  <si>
    <t xml:space="preserve">     Service Personnel</t>
  </si>
  <si>
    <t xml:space="preserve">    Grounds Maintenance (tree pruning &amp; basin)</t>
  </si>
  <si>
    <t>It may not be this much but our trees need pruning and fertilization to remain safe and healthy</t>
  </si>
  <si>
    <t>We need to paint the gym. Prices have gone up and this building needs constant attention</t>
  </si>
  <si>
    <t xml:space="preserve">        Gate/Fence</t>
  </si>
  <si>
    <t xml:space="preserve">        Flooring</t>
  </si>
  <si>
    <t>Replace gym floor; will do in FY24</t>
  </si>
  <si>
    <t>Less work anticipated</t>
  </si>
  <si>
    <t>We have myriad leaks and faltering fixtures</t>
  </si>
  <si>
    <t>Repairs only; we will continue to have catastrophic faliures with the VRF system in the main hallway.</t>
  </si>
  <si>
    <t>Inflation</t>
  </si>
  <si>
    <t xml:space="preserve">        Van</t>
  </si>
  <si>
    <t>The van needs oil changes and routine maintenance including washes.</t>
  </si>
  <si>
    <t>Total Building &amp; Grounds - MC Budget</t>
  </si>
  <si>
    <t xml:space="preserve">    Hot water heater replacement</t>
  </si>
  <si>
    <t>FY 2025 - Farm</t>
  </si>
  <si>
    <t xml:space="preserve">The return of our chicken program at middle campus will increase our farm expenses. </t>
  </si>
  <si>
    <t xml:space="preserve">     Farm Education - Classroom Supplies</t>
  </si>
  <si>
    <t>Expanding student programming at middle campus will require a budget for supplies, materials, and consumables.</t>
  </si>
  <si>
    <t>Total Farm Budget</t>
  </si>
  <si>
    <t>vet visit for chickens</t>
  </si>
  <si>
    <t>F2S month</t>
  </si>
  <si>
    <t>BHM teach-in</t>
  </si>
  <si>
    <t>farm event speaker</t>
  </si>
  <si>
    <t>FY 2025 - Information Technology</t>
  </si>
  <si>
    <t>Classroom Supplies (Instructional Technology)</t>
  </si>
  <si>
    <t>No seperate Instructional Technology budget for Elementary Library Instruction, using Cell phone overflow here as well</t>
  </si>
  <si>
    <t>Price has increased from last year.</t>
  </si>
  <si>
    <t>Cell Phones</t>
  </si>
  <si>
    <t>Trying to reduce subscriber lines below the current identified 14</t>
  </si>
  <si>
    <t xml:space="preserve">        Technology Supplies</t>
  </si>
  <si>
    <t>Typically get around 10K in "executive" requests that are billed to Tech but I only have $5K</t>
  </si>
  <si>
    <t xml:space="preserve">        Equipment:  computers/hardware</t>
  </si>
  <si>
    <t>Reduce student computer counts for mandatory testing coverage to cover Instructional Tech, also may receive a directive to purchase one or more MacBoooks instead of 3-4 staff or 7-8 student systems</t>
  </si>
  <si>
    <t>Total Information Technology Budget</t>
  </si>
  <si>
    <t>FY 2025 - Athletics</t>
  </si>
  <si>
    <t>Athletics Income</t>
  </si>
  <si>
    <t>I look to increase the athletic fees from $140 to $200 which would raise our athletics income by $5000; Registration going out in July of 2024</t>
  </si>
  <si>
    <t xml:space="preserve"> Athletics Stipends</t>
  </si>
  <si>
    <t>I included an assistant Ad stipend which would be paid out in 3 payments. One payment in Oct, March and May.  AD stipend not approved and removed</t>
  </si>
  <si>
    <t>Athletics Program</t>
  </si>
  <si>
    <t xml:space="preserve">I plan to increase the athletics program budget by $20,000 to ensure that we can uniform, feed and provide transportation for our student athletes. </t>
  </si>
  <si>
    <t>Total Athletics Budget</t>
  </si>
  <si>
    <t>FY 2025 - MACAL</t>
  </si>
  <si>
    <t>MACAL Income</t>
  </si>
  <si>
    <t>Ticket sales and school fees (Football, Volleyball and Basketball).  Also adding more games to volleyball and basketball to generate more revenue.</t>
  </si>
  <si>
    <t>MACAL Athletics</t>
  </si>
  <si>
    <t>FY25 we are allocating more money for securtity.  Which was not allocated in 2024.  Removing ANCS Security Team and Adding Westside Security (Cheaper)</t>
  </si>
  <si>
    <t>Total MACAL Budget</t>
  </si>
  <si>
    <t>Ticket price will increase from $6.00 to $7.00 ($1.00 increase per ticket revenue.</t>
  </si>
  <si>
    <t>*Fee Increase for 24-25</t>
  </si>
  <si>
    <r>
      <rPr>
        <sz val="9"/>
        <color rgb="FF000000"/>
        <rFont val="Avenir, Arial"/>
      </rPr>
      <t xml:space="preserve">Football/Cheer: $2,500 x 7=$17,500, 2x$1500=$3,000 </t>
    </r>
    <r>
      <rPr>
        <sz val="9"/>
        <color rgb="FFFF0000"/>
        <rFont val="Avenir, Arial"/>
      </rPr>
      <t>Total $20,500</t>
    </r>
  </si>
  <si>
    <r>
      <rPr>
        <sz val="9"/>
        <color rgb="FF000000"/>
        <rFont val="Avenir, Arial"/>
      </rPr>
      <t xml:space="preserve">Volleyball: $2000 x8 = </t>
    </r>
    <r>
      <rPr>
        <sz val="9"/>
        <color rgb="FFFF0000"/>
        <rFont val="Avenir, Arial"/>
      </rPr>
      <t>Total  $16,000</t>
    </r>
  </si>
  <si>
    <r>
      <rPr>
        <sz val="9"/>
        <color rgb="FF000000"/>
        <rFont val="Avenir, Arial"/>
      </rPr>
      <t>Basketball: $2,500 x 7=$17,500, 2x$1500=$3,000</t>
    </r>
    <r>
      <rPr>
        <sz val="9"/>
        <color rgb="FFFF0000"/>
        <rFont val="Avenir, Arial"/>
      </rPr>
      <t xml:space="preserve"> Total $20,500</t>
    </r>
  </si>
  <si>
    <t>Field Rental - Jackson/South Atlanta $5,500 plus supplie (August line)</t>
  </si>
  <si>
    <t>Crim Rental/Set-up Volleyball - $7,300 plus supplies (Sept line)</t>
  </si>
  <si>
    <t>Crim Rental/Set-up Basketball- $7,300 plus supplies (Nov  line)</t>
  </si>
  <si>
    <t>Coan Rental/Volleyball&amp; Basketball -$3,000  plus supplies (Oct line)</t>
  </si>
  <si>
    <t>FY 2025 - PTCA</t>
  </si>
  <si>
    <t>PTCA Income</t>
  </si>
  <si>
    <t>RWTW - $13k, Bingo - $2,500, Kickball - $3,500; school store and yearbook pictures transferred to MarComm</t>
  </si>
  <si>
    <t>Budget increased to account for additonal staff need during Curriculum NIght</t>
  </si>
  <si>
    <t xml:space="preserve">Budget increased for Fall Fest Program to make sure there is enough FREE food </t>
  </si>
  <si>
    <r>
      <rPr>
        <b/>
        <sz val="10"/>
        <color rgb="FF000000"/>
        <rFont val="Calibri"/>
      </rPr>
      <t xml:space="preserve">    </t>
    </r>
    <r>
      <rPr>
        <sz val="10"/>
        <color rgb="FF000000"/>
        <rFont val="Calibri"/>
      </rPr>
      <t>PTCA Programs</t>
    </r>
  </si>
  <si>
    <t>This variance is due to the additonal programming for Parent Resource/Affinity Groups</t>
  </si>
  <si>
    <t xml:space="preserve">    Staff/Teacher Appreciation</t>
  </si>
  <si>
    <t>Increased due to cost of food (inflation) for catered breakfasts for Appreciation</t>
  </si>
  <si>
    <t xml:space="preserve">    Staff/Teacher Appreciation - Room Parents</t>
  </si>
  <si>
    <t>We foresee actually purchasing supplies next year, especially with the renewed mission</t>
  </si>
  <si>
    <t>Printing and reproduction was done "in house" in fy24, I am not sure what printing costs were needed in years prior.  The 2000 is allotted for signage for events and special printing projects</t>
  </si>
  <si>
    <t>Transferred to MarComm</t>
  </si>
  <si>
    <t>FY 2025 - Media Center - Elem Campus</t>
  </si>
  <si>
    <t>Book Fair</t>
  </si>
  <si>
    <t>Curriculum &amp; Classroom (Books)</t>
  </si>
  <si>
    <t>Change in budget to account for purchacing books for Grandparents and Special Friends Bookplates</t>
  </si>
  <si>
    <t>Total Media Center - Elem Campus Budget</t>
  </si>
  <si>
    <t>FY 2025 - Media Center - Middle Campus</t>
  </si>
  <si>
    <t>Classroom supplies</t>
  </si>
  <si>
    <t>I did not divide my expenditures between supplies/furniture and books last year, so updated for next year.</t>
  </si>
  <si>
    <t>Total Media Center - Middle Campus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</si>
</sst>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quot;$&quot;#,##0"/>
    <numFmt numFmtId="168" formatCode="mmm&quot;-&quot;yy"/>
    <numFmt numFmtId="169" formatCode="&quot;$&quot;#,##0.00"/>
  </numFmts>
  <fonts count="45">
    <font>
      <sz val="10"/>
      <color rgb="FF000000"/>
      <name val="Arial"/>
      <scheme val="minor"/>
    </font>
    <font>
      <sz val="11"/>
      <color theme="1"/>
      <name val="Calibri"/>
    </font>
    <font>
      <b/>
      <sz val="10"/>
      <color theme="1"/>
      <name val="Calibri"/>
    </font>
    <font>
      <sz val="10"/>
      <color rgb="FF3F3F76"/>
      <name val="Calibri"/>
    </font>
    <font>
      <b/>
      <sz val="10"/>
      <color rgb="FF3F3F76"/>
      <name val="Calibri"/>
    </font>
    <font>
      <sz val="10"/>
      <color theme="1"/>
      <name val="Calibri"/>
    </font>
    <font>
      <u/>
      <sz val="10"/>
      <color rgb="FF0000FF"/>
      <name val="Calibri"/>
    </font>
    <font>
      <sz val="10"/>
      <color rgb="FF000000"/>
      <name val="Calibri"/>
    </font>
    <font>
      <sz val="10"/>
      <name val="Arial"/>
    </font>
    <font>
      <u/>
      <sz val="10"/>
      <color rgb="FF0000FF"/>
      <name val="Calibri"/>
    </font>
    <font>
      <u/>
      <sz val="10"/>
      <color rgb="FF0000FF"/>
      <name val="Calibri"/>
    </font>
    <font>
      <u/>
      <sz val="10"/>
      <color rgb="FF0000FF"/>
      <name val="Calibri"/>
    </font>
    <font>
      <b/>
      <sz val="10"/>
      <color theme="1"/>
      <name val="Arial"/>
    </font>
    <font>
      <sz val="10"/>
      <color theme="1"/>
      <name val="Arial"/>
    </font>
    <font>
      <b/>
      <sz val="10"/>
      <color rgb="FF000000"/>
      <name val="Calibri"/>
    </font>
    <font>
      <sz val="10"/>
      <color rgb="FF000000"/>
      <name val="Arial"/>
      <scheme val="minor"/>
    </font>
    <font>
      <sz val="10"/>
      <color rgb="FF000000"/>
      <name val="Arial"/>
    </font>
    <font>
      <b/>
      <sz val="10"/>
      <color rgb="FF000000"/>
      <name val="Arial"/>
    </font>
    <font>
      <i/>
      <sz val="10"/>
      <color rgb="FF000000"/>
      <name val="Calibri"/>
    </font>
    <font>
      <sz val="10"/>
      <color theme="1"/>
      <name val="Arial"/>
    </font>
    <font>
      <b/>
      <sz val="10"/>
      <color rgb="FF5B9BD5"/>
      <name val="Calibri"/>
    </font>
    <font>
      <sz val="10"/>
      <color theme="1"/>
      <name val="Arial"/>
      <scheme val="minor"/>
    </font>
    <font>
      <b/>
      <sz val="10"/>
      <color rgb="FF006100"/>
      <name val="Calibri"/>
    </font>
    <font>
      <b/>
      <sz val="10"/>
      <color rgb="FF000000"/>
      <name val="Calibri"/>
    </font>
    <font>
      <b/>
      <sz val="10"/>
      <color rgb="FF9C0006"/>
      <name val="Calibri"/>
    </font>
    <font>
      <sz val="10"/>
      <color rgb="FF1F1F1F"/>
      <name val="Calibri"/>
    </font>
    <font>
      <b/>
      <sz val="10"/>
      <color theme="1"/>
      <name val="Calibri"/>
    </font>
    <font>
      <sz val="10"/>
      <color rgb="FF006100"/>
      <name val="Calibri"/>
    </font>
    <font>
      <u/>
      <sz val="10"/>
      <color rgb="FF0000FF"/>
      <name val="Calibri"/>
    </font>
    <font>
      <u/>
      <sz val="10"/>
      <color rgb="FF0000FF"/>
      <name val="Calibri"/>
    </font>
    <font>
      <b/>
      <sz val="10"/>
      <color rgb="FFA61C00"/>
      <name val="Calibri"/>
    </font>
    <font>
      <sz val="10"/>
      <color theme="1"/>
      <name val="Calibri"/>
    </font>
    <font>
      <b/>
      <sz val="10"/>
      <color theme="1"/>
      <name val="Arial"/>
    </font>
    <font>
      <sz val="10"/>
      <color rgb="FF000000"/>
      <name val="Calibri"/>
    </font>
    <font>
      <sz val="10"/>
      <color rgb="FFFF0000"/>
      <name val="Calibri"/>
    </font>
    <font>
      <sz val="10"/>
      <color rgb="FF000000"/>
      <name val="Docs-Calibri"/>
    </font>
    <font>
      <sz val="9"/>
      <color theme="1"/>
      <name val="Avenir"/>
    </font>
    <font>
      <sz val="9"/>
      <color rgb="FFFF0000"/>
      <name val="Avenir"/>
    </font>
    <font>
      <sz val="9"/>
      <color rgb="FF000000"/>
      <name val="Avenir"/>
    </font>
    <font>
      <b/>
      <sz val="10"/>
      <color rgb="FFFF0000"/>
      <name val="Calibri (Body)_x0000_"/>
    </font>
    <font>
      <b/>
      <i/>
      <sz val="10"/>
      <color rgb="FFFF0000"/>
      <name val="Calibri (Body)_x0000_"/>
    </font>
    <font>
      <sz val="10"/>
      <name val="Calibri, Arial"/>
    </font>
    <font>
      <u/>
      <sz val="10"/>
      <color rgb="FF1155CC"/>
      <name val="Calibri, Arial"/>
    </font>
    <font>
      <sz val="9"/>
      <color rgb="FF000000"/>
      <name val="Avenir, Arial"/>
    </font>
    <font>
      <sz val="9"/>
      <color rgb="FFFF0000"/>
      <name val="Avenir, Arial"/>
    </font>
  </fonts>
  <fills count="25">
    <fill>
      <patternFill patternType="none"/>
    </fill>
    <fill>
      <patternFill patternType="gray125"/>
    </fill>
    <fill>
      <patternFill patternType="solid">
        <fgColor rgb="FFFFFFCC"/>
        <bgColor rgb="FFFFFFCC"/>
      </patternFill>
    </fill>
    <fill>
      <patternFill patternType="solid">
        <fgColor rgb="FFFFCC99"/>
        <bgColor rgb="FFFFCC99"/>
      </patternFill>
    </fill>
    <fill>
      <patternFill patternType="solid">
        <fgColor rgb="FFFFFF99"/>
        <bgColor rgb="FFFFFF99"/>
      </patternFill>
    </fill>
    <fill>
      <patternFill patternType="solid">
        <fgColor rgb="FFCCC0D9"/>
        <bgColor rgb="FFCCC0D9"/>
      </patternFill>
    </fill>
    <fill>
      <patternFill patternType="solid">
        <fgColor rgb="FFFFFFFF"/>
        <bgColor rgb="FFFFFFFF"/>
      </patternFill>
    </fill>
    <fill>
      <patternFill patternType="solid">
        <fgColor rgb="FFB2A1C7"/>
        <bgColor rgb="FFB2A1C7"/>
      </patternFill>
    </fill>
    <fill>
      <patternFill patternType="solid">
        <fgColor rgb="FFE5B8B7"/>
        <bgColor rgb="FFE5B8B7"/>
      </patternFill>
    </fill>
    <fill>
      <patternFill patternType="solid">
        <fgColor rgb="FFF9CB9C"/>
        <bgColor rgb="FFF9CB9C"/>
      </patternFill>
    </fill>
    <fill>
      <patternFill patternType="solid">
        <fgColor rgb="FFD9D2E9"/>
        <bgColor rgb="FFD9D2E9"/>
      </patternFill>
    </fill>
    <fill>
      <patternFill patternType="solid">
        <fgColor rgb="FFB6DDE8"/>
        <bgColor rgb="FFB6DDE8"/>
      </patternFill>
    </fill>
    <fill>
      <patternFill patternType="solid">
        <fgColor rgb="FFFDE9D9"/>
        <bgColor rgb="FFFDE9D9"/>
      </patternFill>
    </fill>
    <fill>
      <patternFill patternType="solid">
        <fgColor rgb="FF00FFFF"/>
        <bgColor rgb="FF00FFFF"/>
      </patternFill>
    </fill>
    <fill>
      <patternFill patternType="solid">
        <fgColor rgb="FFB7B7B7"/>
        <bgColor rgb="FFB7B7B7"/>
      </patternFill>
    </fill>
    <fill>
      <patternFill patternType="solid">
        <fgColor rgb="FFC9DAF8"/>
        <bgColor rgb="FFC9DAF8"/>
      </patternFill>
    </fill>
    <fill>
      <patternFill patternType="solid">
        <fgColor rgb="FFC6EFCE"/>
        <bgColor rgb="FFC6EFCE"/>
      </patternFill>
    </fill>
    <fill>
      <patternFill patternType="solid">
        <fgColor rgb="FFCCCCCC"/>
        <bgColor rgb="FFCCCCCC"/>
      </patternFill>
    </fill>
    <fill>
      <patternFill patternType="solid">
        <fgColor rgb="FFFFF2CC"/>
        <bgColor rgb="FFFFF2CC"/>
      </patternFill>
    </fill>
    <fill>
      <patternFill patternType="solid">
        <fgColor rgb="FFD8D8D8"/>
        <bgColor rgb="FFD8D8D8"/>
      </patternFill>
    </fill>
    <fill>
      <patternFill patternType="solid">
        <fgColor rgb="FFFFFF00"/>
        <bgColor rgb="FFFFFF00"/>
      </patternFill>
    </fill>
    <fill>
      <patternFill patternType="solid">
        <fgColor rgb="FFA4C2F4"/>
        <bgColor rgb="FFA4C2F4"/>
      </patternFill>
    </fill>
    <fill>
      <patternFill patternType="solid">
        <fgColor rgb="FFFFC7CE"/>
        <bgColor rgb="FFFFC7CE"/>
      </patternFill>
    </fill>
    <fill>
      <patternFill patternType="solid">
        <fgColor rgb="FF999999"/>
        <bgColor rgb="FF999999"/>
      </patternFill>
    </fill>
    <fill>
      <patternFill patternType="solid">
        <fgColor rgb="FFF4F5F8"/>
        <bgColor rgb="FFF4F5F8"/>
      </patternFill>
    </fill>
  </fills>
  <borders count="71">
    <border>
      <left/>
      <right/>
      <top/>
      <bottom/>
      <diagonal/>
    </border>
    <border>
      <left style="medium">
        <color rgb="FF000000"/>
      </left>
      <right style="medium">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7F7F7F"/>
      </bottom>
      <diagonal/>
    </border>
    <border>
      <left/>
      <right style="thin">
        <color rgb="FF7F7F7F"/>
      </right>
      <top/>
      <bottom/>
      <diagonal/>
    </border>
    <border>
      <left/>
      <right style="thin">
        <color rgb="FF7F7F7F"/>
      </right>
      <top/>
      <bottom style="thin">
        <color rgb="FF7F7F7F"/>
      </bottom>
      <diagonal/>
    </border>
    <border>
      <left/>
      <right style="thin">
        <color rgb="FF7F7F7F"/>
      </right>
      <top/>
      <bottom style="medium">
        <color rgb="FF000000"/>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
      <left/>
      <right style="medium">
        <color rgb="FF000000"/>
      </right>
      <top/>
      <bottom style="thin">
        <color rgb="FF000000"/>
      </bottom>
      <diagonal/>
    </border>
    <border>
      <left style="medium">
        <color rgb="FF000000"/>
      </left>
      <right style="medium">
        <color rgb="FF000000"/>
      </right>
      <top/>
      <bottom/>
      <diagonal/>
    </border>
    <border>
      <left/>
      <right/>
      <top/>
      <bottom/>
      <diagonal/>
    </border>
    <border>
      <left/>
      <right style="medium">
        <color rgb="FF000000"/>
      </right>
      <top/>
      <bottom/>
      <diagonal/>
    </border>
    <border>
      <left/>
      <right style="thin">
        <color rgb="FF000000"/>
      </right>
      <top/>
      <bottom style="medium">
        <color rgb="FF000000"/>
      </bottom>
      <diagonal/>
    </border>
    <border>
      <left/>
      <right/>
      <top/>
      <bottom style="thick">
        <color rgb="FF000000"/>
      </bottom>
      <diagonal/>
    </border>
    <border>
      <left/>
      <right/>
      <top style="thick">
        <color rgb="FF000000"/>
      </top>
      <bottom/>
      <diagonal/>
    </border>
    <border>
      <left/>
      <right style="thick">
        <color rgb="FF000000"/>
      </right>
      <top/>
      <bottom/>
      <diagonal/>
    </border>
    <border>
      <left style="thick">
        <color rgb="FF000000"/>
      </left>
      <right style="thick">
        <color rgb="FF000000"/>
      </right>
      <top/>
      <bottom/>
      <diagonal/>
    </border>
    <border>
      <left style="thick">
        <color rgb="FF000000"/>
      </left>
      <right style="medium">
        <color rgb="FF000000"/>
      </right>
      <top/>
      <bottom/>
      <diagonal/>
    </border>
    <border>
      <left style="thick">
        <color rgb="FF000000"/>
      </left>
      <right/>
      <top/>
      <bottom/>
      <diagonal/>
    </border>
    <border>
      <left/>
      <right style="thick">
        <color rgb="FF000000"/>
      </right>
      <top/>
      <bottom style="thick">
        <color rgb="FF000000"/>
      </bottom>
      <diagonal/>
    </border>
    <border>
      <left style="thick">
        <color rgb="FF000000"/>
      </left>
      <right style="thick">
        <color rgb="FF000000"/>
      </right>
      <top/>
      <bottom style="medium">
        <color rgb="FF000000"/>
      </bottom>
      <diagonal/>
    </border>
    <border>
      <left/>
      <right style="thick">
        <color rgb="FF000000"/>
      </right>
      <top/>
      <bottom style="medium">
        <color rgb="FF000000"/>
      </bottom>
      <diagonal/>
    </border>
    <border>
      <left/>
      <right style="medium">
        <color rgb="FF000000"/>
      </right>
      <top/>
      <bottom style="thick">
        <color rgb="FF000000"/>
      </bottom>
      <diagonal/>
    </border>
    <border>
      <left style="thick">
        <color rgb="FF000000"/>
      </left>
      <right style="thick">
        <color rgb="FF000000"/>
      </right>
      <top/>
      <bottom style="thick">
        <color rgb="FF000000"/>
      </bottom>
      <diagonal/>
    </border>
    <border>
      <left/>
      <right/>
      <top/>
      <bottom/>
      <diagonal/>
    </border>
    <border>
      <left style="thin">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bottom style="thin">
        <color rgb="FFCCCCCC"/>
      </bottom>
      <diagonal/>
    </border>
    <border>
      <left style="thin">
        <color rgb="FF000000"/>
      </left>
      <right style="thin">
        <color rgb="FF000000"/>
      </right>
      <top/>
      <bottom style="thin">
        <color rgb="FFCCCCCC"/>
      </bottom>
      <diagonal/>
    </border>
    <border>
      <left/>
      <right/>
      <top/>
      <bottom style="thin">
        <color rgb="FFCCCCCC"/>
      </bottom>
      <diagonal/>
    </border>
    <border>
      <left style="thin">
        <color rgb="FF000000"/>
      </left>
      <right style="thin">
        <color rgb="FF000000"/>
      </right>
      <top/>
      <bottom style="thin">
        <color rgb="FFD9D9D9"/>
      </bottom>
      <diagonal/>
    </border>
    <border>
      <left/>
      <right/>
      <top/>
      <bottom style="thin">
        <color rgb="FFCCCCCC"/>
      </bottom>
      <diagonal/>
    </border>
    <border>
      <left/>
      <right style="thin">
        <color rgb="FF000000"/>
      </right>
      <top/>
      <bottom style="thin">
        <color rgb="FFD9D9D9"/>
      </bottom>
      <diagonal/>
    </border>
    <border>
      <left/>
      <right/>
      <top/>
      <bottom/>
      <diagonal/>
    </border>
    <border>
      <left/>
      <right/>
      <top/>
      <bottom/>
      <diagonal/>
    </border>
    <border>
      <left style="thin">
        <color rgb="FF000000"/>
      </left>
      <right style="thin">
        <color rgb="FF000000"/>
      </right>
      <top/>
      <bottom/>
      <diagonal/>
    </border>
    <border>
      <left style="thin">
        <color rgb="FF000000"/>
      </left>
      <right style="thin">
        <color rgb="FF000000"/>
      </right>
      <top style="thin">
        <color rgb="FFCCCCCC"/>
      </top>
      <bottom style="thin">
        <color rgb="FFCCCCCC"/>
      </bottom>
      <diagonal/>
    </border>
    <border>
      <left/>
      <right/>
      <top/>
      <bottom/>
      <diagonal/>
    </border>
    <border>
      <left style="thin">
        <color rgb="FF000000"/>
      </left>
      <right style="thin">
        <color rgb="FF000000"/>
      </right>
      <top/>
      <bottom/>
      <diagonal/>
    </border>
    <border>
      <left style="thin">
        <color rgb="FF000000"/>
      </left>
      <right style="thin">
        <color rgb="FF000000"/>
      </right>
      <top/>
      <bottom/>
      <diagonal/>
    </border>
    <border>
      <left/>
      <right style="thin">
        <color rgb="FF000000"/>
      </right>
      <top/>
      <bottom style="thin">
        <color rgb="FFD9D9D9"/>
      </bottom>
      <diagonal/>
    </border>
    <border>
      <left style="thin">
        <color rgb="FF000000"/>
      </left>
      <right style="thin">
        <color rgb="FF000000"/>
      </right>
      <top/>
      <bottom style="thin">
        <color rgb="FFD9D9D9"/>
      </bottom>
      <diagonal/>
    </border>
    <border>
      <left style="thin">
        <color rgb="FF000000"/>
      </left>
      <right style="thin">
        <color rgb="FF000000"/>
      </right>
      <top style="thin">
        <color rgb="FF000000"/>
      </top>
      <bottom style="thin">
        <color rgb="FF000000"/>
      </bottom>
      <diagonal/>
    </border>
    <border>
      <left/>
      <right/>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style="thin">
        <color rgb="FF000000"/>
      </right>
      <top/>
      <bottom style="thin">
        <color rgb="FFCCCCCC"/>
      </bottom>
      <diagonal/>
    </border>
    <border>
      <left style="thin">
        <color rgb="FF000000"/>
      </left>
      <right/>
      <top/>
      <bottom style="thin">
        <color rgb="FFCCCCCC"/>
      </bottom>
      <diagonal/>
    </border>
    <border>
      <left style="thin">
        <color rgb="FF000000"/>
      </left>
      <right/>
      <top style="thin">
        <color rgb="FFCCCCCC"/>
      </top>
      <bottom style="thin">
        <color rgb="FFCCCCCC"/>
      </bottom>
      <diagonal/>
    </border>
    <border>
      <left style="thin">
        <color rgb="FF000000"/>
      </left>
      <right/>
      <top/>
      <bottom/>
      <diagonal/>
    </border>
    <border>
      <left style="thin">
        <color rgb="FF000000"/>
      </left>
      <right/>
      <top/>
      <bottom style="thin">
        <color rgb="FFCCCCCC"/>
      </bottom>
      <diagonal/>
    </border>
    <border>
      <left/>
      <right style="thin">
        <color rgb="FF000000"/>
      </right>
      <top style="thin">
        <color rgb="FFCCCCCC"/>
      </top>
      <bottom style="thin">
        <color rgb="FFCCCCCC"/>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diagonal/>
    </border>
    <border>
      <left style="thin">
        <color rgb="FF000000"/>
      </left>
      <right/>
      <top style="thin">
        <color rgb="FF000000"/>
      </top>
      <bottom/>
      <diagonal/>
    </border>
    <border>
      <left/>
      <right/>
      <top/>
      <bottom/>
      <diagonal/>
    </border>
    <border>
      <left/>
      <right/>
      <top/>
      <bottom/>
      <diagonal/>
    </border>
    <border>
      <left style="thin">
        <color rgb="FF000000"/>
      </left>
      <right/>
      <top/>
      <bottom style="thin">
        <color rgb="FF000000"/>
      </bottom>
      <diagonal/>
    </border>
    <border>
      <left style="thin">
        <color rgb="FFB7B7B7"/>
      </left>
      <right style="thin">
        <color rgb="FFB7B7B7"/>
      </right>
      <top style="thin">
        <color rgb="FFB7B7B7"/>
      </top>
      <bottom style="thin">
        <color rgb="FFB7B7B7"/>
      </bottom>
      <diagonal/>
    </border>
  </borders>
  <cellStyleXfs count="1">
    <xf numFmtId="0" fontId="0" fillId="0" borderId="0"/>
  </cellStyleXfs>
  <cellXfs count="613">
    <xf numFmtId="0" fontId="0" fillId="0" borderId="0" xfId="0"/>
    <xf numFmtId="164" fontId="1" fillId="0" borderId="1" xfId="0" applyNumberFormat="1" applyFont="1" applyBorder="1"/>
    <xf numFmtId="165" fontId="1" fillId="0" borderId="2" xfId="0" applyNumberFormat="1" applyFont="1" applyBorder="1"/>
    <xf numFmtId="0" fontId="1" fillId="0" borderId="0" xfId="0" applyFont="1"/>
    <xf numFmtId="164" fontId="1" fillId="0" borderId="0" xfId="0" applyNumberFormat="1" applyFont="1"/>
    <xf numFmtId="0" fontId="2" fillId="0" borderId="3" xfId="0" applyFont="1" applyBorder="1"/>
    <xf numFmtId="165" fontId="2" fillId="2" borderId="4" xfId="0" applyNumberFormat="1" applyFont="1" applyFill="1" applyBorder="1" applyAlignment="1">
      <alignment horizontal="center"/>
    </xf>
    <xf numFmtId="17" fontId="1" fillId="0" borderId="0" xfId="0" applyNumberFormat="1" applyFont="1"/>
    <xf numFmtId="0" fontId="2" fillId="2" borderId="4" xfId="0" applyFont="1" applyFill="1" applyBorder="1" applyAlignment="1">
      <alignment horizontal="center"/>
    </xf>
    <xf numFmtId="165" fontId="1" fillId="0" borderId="0" xfId="0" applyNumberFormat="1" applyFont="1"/>
    <xf numFmtId="0" fontId="1" fillId="0" borderId="5" xfId="0" applyFont="1" applyBorder="1"/>
    <xf numFmtId="164" fontId="1" fillId="0" borderId="5" xfId="0" applyNumberFormat="1" applyFont="1" applyBorder="1"/>
    <xf numFmtId="0" fontId="2" fillId="0" borderId="0" xfId="0" applyFont="1"/>
    <xf numFmtId="0" fontId="1" fillId="0" borderId="6" xfId="0" applyFont="1" applyBorder="1"/>
    <xf numFmtId="0" fontId="3" fillId="3" borderId="7" xfId="0" applyFont="1" applyFill="1" applyBorder="1" applyAlignment="1">
      <alignment horizontal="right"/>
    </xf>
    <xf numFmtId="38" fontId="4" fillId="3" borderId="8" xfId="0" applyNumberFormat="1" applyFont="1" applyFill="1" applyBorder="1" applyAlignment="1">
      <alignment horizontal="center"/>
    </xf>
    <xf numFmtId="0" fontId="1" fillId="3" borderId="8" xfId="0" applyFont="1" applyFill="1" applyBorder="1"/>
    <xf numFmtId="0" fontId="1" fillId="0" borderId="9" xfId="0" applyFont="1" applyBorder="1"/>
    <xf numFmtId="164" fontId="1" fillId="0" borderId="9" xfId="0" applyNumberFormat="1" applyFont="1" applyBorder="1"/>
    <xf numFmtId="164" fontId="2" fillId="0" borderId="9" xfId="0" applyNumberFormat="1" applyFont="1" applyBorder="1" applyAlignment="1">
      <alignment horizontal="center" wrapText="1"/>
    </xf>
    <xf numFmtId="0" fontId="1" fillId="0" borderId="10" xfId="0" applyFont="1" applyBorder="1"/>
    <xf numFmtId="165" fontId="1" fillId="0" borderId="10" xfId="0" applyNumberFormat="1" applyFont="1" applyBorder="1"/>
    <xf numFmtId="164" fontId="1" fillId="0" borderId="11" xfId="0" applyNumberFormat="1" applyFont="1" applyBorder="1"/>
    <xf numFmtId="164" fontId="2" fillId="0" borderId="11" xfId="0" applyNumberFormat="1" applyFont="1" applyBorder="1" applyAlignment="1">
      <alignment horizontal="center"/>
    </xf>
    <xf numFmtId="0" fontId="2" fillId="4" borderId="0" xfId="0" applyFont="1" applyFill="1"/>
    <xf numFmtId="165" fontId="2" fillId="4" borderId="0" xfId="0" applyNumberFormat="1" applyFont="1" applyFill="1" applyAlignment="1">
      <alignment horizontal="center"/>
    </xf>
    <xf numFmtId="0" fontId="1" fillId="4" borderId="0" xfId="0" applyFont="1" applyFill="1"/>
    <xf numFmtId="165" fontId="1" fillId="4" borderId="0" xfId="0" applyNumberFormat="1" applyFont="1" applyFill="1"/>
    <xf numFmtId="0" fontId="5" fillId="0" borderId="9" xfId="0" applyFont="1" applyBorder="1"/>
    <xf numFmtId="164" fontId="5" fillId="0" borderId="9" xfId="0" applyNumberFormat="1" applyFont="1" applyBorder="1" applyAlignment="1">
      <alignment horizontal="right"/>
    </xf>
    <xf numFmtId="0" fontId="1" fillId="5" borderId="0" xfId="0" applyFont="1" applyFill="1"/>
    <xf numFmtId="165" fontId="6" fillId="5" borderId="12" xfId="0" applyNumberFormat="1" applyFont="1" applyFill="1" applyBorder="1" applyAlignment="1">
      <alignment horizontal="center"/>
    </xf>
    <xf numFmtId="0" fontId="2" fillId="5" borderId="2" xfId="0" applyFont="1" applyFill="1" applyBorder="1"/>
    <xf numFmtId="0" fontId="1" fillId="5" borderId="13" xfId="0" applyFont="1" applyFill="1" applyBorder="1"/>
    <xf numFmtId="164" fontId="2" fillId="5" borderId="13" xfId="0" applyNumberFormat="1" applyFont="1" applyFill="1" applyBorder="1" applyAlignment="1">
      <alignment horizontal="right"/>
    </xf>
    <xf numFmtId="3" fontId="1" fillId="5" borderId="0" xfId="0" applyNumberFormat="1" applyFont="1" applyFill="1"/>
    <xf numFmtId="164" fontId="2" fillId="5" borderId="14" xfId="0" applyNumberFormat="1" applyFont="1" applyFill="1" applyBorder="1" applyAlignment="1">
      <alignment horizontal="right"/>
    </xf>
    <xf numFmtId="0" fontId="7" fillId="0" borderId="15" xfId="0" applyFont="1" applyBorder="1"/>
    <xf numFmtId="0" fontId="1" fillId="0" borderId="14" xfId="0" applyFont="1" applyBorder="1"/>
    <xf numFmtId="0" fontId="7" fillId="6" borderId="16" xfId="0" applyFont="1" applyFill="1" applyBorder="1"/>
    <xf numFmtId="164" fontId="5" fillId="0" borderId="9" xfId="0" applyNumberFormat="1" applyFont="1" applyBorder="1"/>
    <xf numFmtId="0" fontId="5" fillId="0" borderId="13" xfId="0" applyFont="1" applyBorder="1"/>
    <xf numFmtId="164" fontId="5" fillId="0" borderId="13" xfId="0" applyNumberFormat="1" applyFont="1" applyBorder="1" applyAlignment="1">
      <alignment horizontal="right"/>
    </xf>
    <xf numFmtId="164" fontId="1" fillId="0" borderId="13" xfId="0" applyNumberFormat="1" applyFont="1" applyBorder="1"/>
    <xf numFmtId="0" fontId="1" fillId="7" borderId="0" xfId="0" applyFont="1" applyFill="1"/>
    <xf numFmtId="165" fontId="9" fillId="7" borderId="12" xfId="0" applyNumberFormat="1" applyFont="1" applyFill="1" applyBorder="1" applyAlignment="1">
      <alignment horizontal="center"/>
    </xf>
    <xf numFmtId="0" fontId="2" fillId="7" borderId="2" xfId="0" applyFont="1" applyFill="1" applyBorder="1"/>
    <xf numFmtId="0" fontId="1" fillId="7" borderId="13" xfId="0" applyFont="1" applyFill="1" applyBorder="1"/>
    <xf numFmtId="164" fontId="2" fillId="7" borderId="13" xfId="0" applyNumberFormat="1" applyFont="1" applyFill="1" applyBorder="1" applyAlignment="1">
      <alignment horizontal="right"/>
    </xf>
    <xf numFmtId="164" fontId="2" fillId="7" borderId="14" xfId="0" applyNumberFormat="1" applyFont="1" applyFill="1" applyBorder="1" applyAlignment="1">
      <alignment horizontal="right"/>
    </xf>
    <xf numFmtId="0" fontId="1" fillId="7" borderId="2" xfId="0" applyFont="1" applyFill="1" applyBorder="1"/>
    <xf numFmtId="165" fontId="10" fillId="7" borderId="4" xfId="0" applyNumberFormat="1" applyFont="1" applyFill="1" applyBorder="1" applyAlignment="1">
      <alignment horizontal="center"/>
    </xf>
    <xf numFmtId="0" fontId="1" fillId="7" borderId="9" xfId="0" applyFont="1" applyFill="1" applyBorder="1"/>
    <xf numFmtId="0" fontId="1" fillId="4" borderId="10" xfId="0" applyFont="1" applyFill="1" applyBorder="1"/>
    <xf numFmtId="0" fontId="1" fillId="4" borderId="17" xfId="0" applyFont="1" applyFill="1" applyBorder="1"/>
    <xf numFmtId="0" fontId="2" fillId="4" borderId="10" xfId="0" applyFont="1" applyFill="1" applyBorder="1"/>
    <xf numFmtId="0" fontId="1" fillId="4" borderId="11" xfId="0" applyFont="1" applyFill="1" applyBorder="1"/>
    <xf numFmtId="164" fontId="2" fillId="4" borderId="11" xfId="0" applyNumberFormat="1" applyFont="1" applyFill="1" applyBorder="1" applyAlignment="1">
      <alignment horizontal="right"/>
    </xf>
    <xf numFmtId="0" fontId="1" fillId="4" borderId="9" xfId="0" applyFont="1" applyFill="1" applyBorder="1"/>
    <xf numFmtId="0" fontId="1" fillId="0" borderId="18" xfId="0" applyFont="1" applyBorder="1"/>
    <xf numFmtId="164" fontId="1" fillId="0" borderId="18" xfId="0" applyNumberFormat="1" applyFont="1" applyBorder="1"/>
    <xf numFmtId="0" fontId="2" fillId="3" borderId="0" xfId="0" applyFont="1" applyFill="1"/>
    <xf numFmtId="165" fontId="1" fillId="3" borderId="0" xfId="0" applyNumberFormat="1" applyFont="1" applyFill="1"/>
    <xf numFmtId="3" fontId="5" fillId="0" borderId="20" xfId="0" applyNumberFormat="1" applyFont="1" applyBorder="1"/>
    <xf numFmtId="164" fontId="2" fillId="0" borderId="0" xfId="0" applyNumberFormat="1" applyFont="1" applyAlignment="1">
      <alignment horizontal="right"/>
    </xf>
    <xf numFmtId="164" fontId="5" fillId="0" borderId="21" xfId="0" applyNumberFormat="1" applyFont="1" applyBorder="1" applyAlignment="1">
      <alignment horizontal="right"/>
    </xf>
    <xf numFmtId="0" fontId="5" fillId="0" borderId="20" xfId="0" applyFont="1" applyBorder="1"/>
    <xf numFmtId="164" fontId="5" fillId="0" borderId="0" xfId="0" applyNumberFormat="1" applyFont="1" applyAlignment="1">
      <alignment horizontal="right"/>
    </xf>
    <xf numFmtId="164" fontId="7" fillId="0" borderId="21" xfId="0" applyNumberFormat="1" applyFont="1" applyBorder="1"/>
    <xf numFmtId="0" fontId="1" fillId="3" borderId="0" xfId="0" applyFont="1" applyFill="1"/>
    <xf numFmtId="165" fontId="11" fillId="3" borderId="0" xfId="0" applyNumberFormat="1" applyFont="1" applyFill="1" applyAlignment="1">
      <alignment horizontal="center"/>
    </xf>
    <xf numFmtId="0" fontId="1" fillId="0" borderId="12" xfId="0" applyFont="1" applyBorder="1"/>
    <xf numFmtId="164" fontId="2" fillId="3" borderId="13" xfId="0" applyNumberFormat="1" applyFont="1" applyFill="1" applyBorder="1" applyAlignment="1">
      <alignment horizontal="right"/>
    </xf>
    <xf numFmtId="164" fontId="1" fillId="3" borderId="4" xfId="0" applyNumberFormat="1" applyFont="1" applyFill="1" applyBorder="1"/>
    <xf numFmtId="164" fontId="2" fillId="3" borderId="21" xfId="0" applyNumberFormat="1" applyFont="1" applyFill="1" applyBorder="1" applyAlignment="1">
      <alignment horizontal="right"/>
    </xf>
    <xf numFmtId="0" fontId="5" fillId="8" borderId="0" xfId="0" applyFont="1" applyFill="1" applyAlignment="1">
      <alignment horizontal="center" vertical="center" wrapText="1"/>
    </xf>
    <xf numFmtId="164" fontId="2" fillId="3" borderId="13" xfId="0" applyNumberFormat="1" applyFont="1" applyFill="1" applyBorder="1" applyAlignment="1">
      <alignment horizontal="center"/>
    </xf>
    <xf numFmtId="164" fontId="5" fillId="0" borderId="22" xfId="0" applyNumberFormat="1" applyFont="1" applyBorder="1" applyAlignment="1">
      <alignment horizontal="right"/>
    </xf>
    <xf numFmtId="0" fontId="1" fillId="0" borderId="20" xfId="0" applyFont="1" applyBorder="1"/>
    <xf numFmtId="0" fontId="2" fillId="10" borderId="20" xfId="0" applyFont="1" applyFill="1" applyBorder="1" applyAlignment="1">
      <alignment horizontal="right"/>
    </xf>
    <xf numFmtId="164" fontId="2" fillId="10" borderId="9" xfId="0" applyNumberFormat="1" applyFont="1" applyFill="1" applyBorder="1" applyAlignment="1">
      <alignment horizontal="right"/>
    </xf>
    <xf numFmtId="164" fontId="2" fillId="10" borderId="13" xfId="0" applyNumberFormat="1" applyFont="1" applyFill="1" applyBorder="1" applyAlignment="1">
      <alignment horizontal="right"/>
    </xf>
    <xf numFmtId="0" fontId="1" fillId="10" borderId="20" xfId="0" applyFont="1" applyFill="1" applyBorder="1"/>
    <xf numFmtId="164" fontId="2" fillId="10" borderId="22" xfId="0" applyNumberFormat="1" applyFont="1" applyFill="1" applyBorder="1" applyAlignment="1">
      <alignment horizontal="right"/>
    </xf>
    <xf numFmtId="0" fontId="2" fillId="11" borderId="20" xfId="0" applyFont="1" applyFill="1" applyBorder="1" applyAlignment="1">
      <alignment horizontal="right"/>
    </xf>
    <xf numFmtId="164" fontId="2" fillId="11" borderId="11" xfId="0" applyNumberFormat="1" applyFont="1" applyFill="1" applyBorder="1" applyAlignment="1">
      <alignment horizontal="right"/>
    </xf>
    <xf numFmtId="0" fontId="1" fillId="11" borderId="20" xfId="0" applyFont="1" applyFill="1" applyBorder="1"/>
    <xf numFmtId="164" fontId="2" fillId="11" borderId="22" xfId="0" applyNumberFormat="1" applyFont="1" applyFill="1" applyBorder="1" applyAlignment="1">
      <alignment horizontal="right"/>
    </xf>
    <xf numFmtId="164" fontId="2" fillId="3" borderId="11" xfId="0" applyNumberFormat="1" applyFont="1" applyFill="1" applyBorder="1" applyAlignment="1">
      <alignment horizontal="right"/>
    </xf>
    <xf numFmtId="43" fontId="1" fillId="0" borderId="11" xfId="0" applyNumberFormat="1" applyFont="1" applyBorder="1"/>
    <xf numFmtId="43" fontId="2" fillId="0" borderId="11" xfId="0" applyNumberFormat="1" applyFont="1" applyBorder="1" applyAlignment="1">
      <alignment horizontal="right"/>
    </xf>
    <xf numFmtId="3" fontId="1" fillId="0" borderId="9" xfId="0" applyNumberFormat="1" applyFont="1" applyBorder="1"/>
    <xf numFmtId="43" fontId="2" fillId="0" borderId="13" xfId="0" applyNumberFormat="1" applyFont="1" applyBorder="1" applyAlignment="1">
      <alignment horizontal="right"/>
    </xf>
    <xf numFmtId="0" fontId="2" fillId="12" borderId="20" xfId="0" applyFont="1" applyFill="1" applyBorder="1" applyAlignment="1">
      <alignment horizontal="right"/>
    </xf>
    <xf numFmtId="164" fontId="1" fillId="12" borderId="9" xfId="0" applyNumberFormat="1" applyFont="1" applyFill="1" applyBorder="1"/>
    <xf numFmtId="0" fontId="1" fillId="12" borderId="20" xfId="0" applyFont="1" applyFill="1" applyBorder="1"/>
    <xf numFmtId="164" fontId="2" fillId="12" borderId="21" xfId="0" applyNumberFormat="1" applyFont="1" applyFill="1" applyBorder="1" applyAlignment="1">
      <alignment horizontal="right"/>
    </xf>
    <xf numFmtId="164" fontId="2" fillId="0" borderId="13" xfId="0" applyNumberFormat="1" applyFont="1" applyBorder="1" applyAlignment="1">
      <alignment horizontal="right"/>
    </xf>
    <xf numFmtId="0" fontId="2" fillId="8" borderId="20" xfId="0" applyFont="1" applyFill="1" applyBorder="1" applyAlignment="1">
      <alignment horizontal="right"/>
    </xf>
    <xf numFmtId="164" fontId="1" fillId="8" borderId="0" xfId="0" applyNumberFormat="1" applyFont="1" applyFill="1"/>
    <xf numFmtId="0" fontId="1" fillId="8" borderId="20" xfId="0" applyFont="1" applyFill="1" applyBorder="1"/>
    <xf numFmtId="164" fontId="2" fillId="8" borderId="21" xfId="0" applyNumberFormat="1" applyFont="1" applyFill="1" applyBorder="1" applyAlignment="1">
      <alignment horizontal="right"/>
    </xf>
    <xf numFmtId="0" fontId="1" fillId="3" borderId="20" xfId="0" applyFont="1" applyFill="1" applyBorder="1"/>
    <xf numFmtId="0" fontId="7" fillId="0" borderId="0" xfId="0" applyFont="1" applyAlignment="1">
      <alignment wrapText="1"/>
    </xf>
    <xf numFmtId="0" fontId="1" fillId="0" borderId="23" xfId="0" applyFont="1" applyBorder="1"/>
    <xf numFmtId="0" fontId="1" fillId="0" borderId="21" xfId="0" applyFont="1" applyBorder="1"/>
    <xf numFmtId="0" fontId="1" fillId="0" borderId="22" xfId="0" applyFont="1" applyBorder="1"/>
    <xf numFmtId="0" fontId="5" fillId="0" borderId="0" xfId="0" applyFont="1"/>
    <xf numFmtId="0" fontId="7" fillId="0" borderId="20" xfId="0" applyFont="1" applyBorder="1"/>
    <xf numFmtId="164" fontId="2" fillId="9" borderId="13" xfId="0" applyNumberFormat="1" applyFont="1" applyFill="1" applyBorder="1" applyAlignment="1">
      <alignment horizontal="right"/>
    </xf>
    <xf numFmtId="0" fontId="1" fillId="9" borderId="0" xfId="0" applyFont="1" applyFill="1"/>
    <xf numFmtId="164" fontId="2" fillId="9" borderId="21" xfId="0" applyNumberFormat="1" applyFont="1" applyFill="1" applyBorder="1" applyAlignment="1">
      <alignment horizontal="right"/>
    </xf>
    <xf numFmtId="164" fontId="2" fillId="0" borderId="21" xfId="0" applyNumberFormat="1" applyFont="1" applyBorder="1" applyAlignment="1">
      <alignment horizontal="right"/>
    </xf>
    <xf numFmtId="44" fontId="1" fillId="0" borderId="9" xfId="0" applyNumberFormat="1" applyFont="1" applyBorder="1"/>
    <xf numFmtId="164" fontId="2" fillId="3" borderId="25" xfId="0" applyNumberFormat="1" applyFont="1" applyFill="1" applyBorder="1" applyAlignment="1">
      <alignment horizontal="right"/>
    </xf>
    <xf numFmtId="165" fontId="1" fillId="4" borderId="26" xfId="0" applyNumberFormat="1" applyFont="1" applyFill="1" applyBorder="1"/>
    <xf numFmtId="0" fontId="1" fillId="4" borderId="24" xfId="0" applyFont="1" applyFill="1" applyBorder="1"/>
    <xf numFmtId="0" fontId="2" fillId="4" borderId="24" xfId="0" applyFont="1" applyFill="1" applyBorder="1" applyAlignment="1">
      <alignment horizontal="right"/>
    </xf>
    <xf numFmtId="164" fontId="2" fillId="3" borderId="11" xfId="0" applyNumberFormat="1" applyFont="1" applyFill="1" applyBorder="1" applyAlignment="1">
      <alignment horizontal="center"/>
    </xf>
    <xf numFmtId="164" fontId="2" fillId="4" borderId="25" xfId="0" applyNumberFormat="1" applyFont="1" applyFill="1" applyBorder="1" applyAlignment="1">
      <alignment horizontal="right"/>
    </xf>
    <xf numFmtId="164" fontId="1" fillId="0" borderId="27" xfId="0" applyNumberFormat="1" applyFont="1" applyBorder="1"/>
    <xf numFmtId="0" fontId="1" fillId="0" borderId="24" xfId="0" applyFont="1" applyBorder="1"/>
    <xf numFmtId="164" fontId="1" fillId="0" borderId="28" xfId="0" applyNumberFormat="1" applyFont="1" applyBorder="1"/>
    <xf numFmtId="0" fontId="2" fillId="0" borderId="24" xfId="0" applyFont="1" applyBorder="1"/>
    <xf numFmtId="164" fontId="2" fillId="3" borderId="24" xfId="0" applyNumberFormat="1" applyFont="1" applyFill="1" applyBorder="1" applyAlignment="1">
      <alignment horizontal="center"/>
    </xf>
    <xf numFmtId="164" fontId="1" fillId="0" borderId="24" xfId="0" applyNumberFormat="1" applyFont="1" applyBorder="1"/>
    <xf numFmtId="164" fontId="2" fillId="3" borderId="28" xfId="0" applyNumberFormat="1" applyFont="1" applyFill="1" applyBorder="1" applyAlignment="1">
      <alignment horizontal="right"/>
    </xf>
    <xf numFmtId="164" fontId="2" fillId="0" borderId="9" xfId="0" applyNumberFormat="1" applyFont="1" applyBorder="1" applyAlignment="1">
      <alignment horizontal="center"/>
    </xf>
    <xf numFmtId="0" fontId="14" fillId="6" borderId="29" xfId="0" applyFont="1" applyFill="1" applyBorder="1"/>
    <xf numFmtId="0" fontId="7" fillId="6" borderId="29" xfId="0" applyFont="1" applyFill="1" applyBorder="1"/>
    <xf numFmtId="164" fontId="7" fillId="6" borderId="29" xfId="0" applyNumberFormat="1" applyFont="1" applyFill="1" applyBorder="1"/>
    <xf numFmtId="43" fontId="7" fillId="6" borderId="29" xfId="0" applyNumberFormat="1" applyFont="1" applyFill="1" applyBorder="1"/>
    <xf numFmtId="0" fontId="7" fillId="0" borderId="0" xfId="0" applyFont="1"/>
    <xf numFmtId="166" fontId="14" fillId="13" borderId="30" xfId="0" applyNumberFormat="1" applyFont="1" applyFill="1" applyBorder="1"/>
    <xf numFmtId="166" fontId="7" fillId="13" borderId="29" xfId="0" applyNumberFormat="1" applyFont="1" applyFill="1" applyBorder="1"/>
    <xf numFmtId="42" fontId="7" fillId="6" borderId="29" xfId="0" applyNumberFormat="1" applyFont="1" applyFill="1" applyBorder="1"/>
    <xf numFmtId="0" fontId="14" fillId="0" borderId="0" xfId="0" applyFont="1" applyAlignment="1">
      <alignment horizontal="center"/>
    </xf>
    <xf numFmtId="0" fontId="14" fillId="6" borderId="29" xfId="0" applyFont="1" applyFill="1" applyBorder="1" applyAlignment="1">
      <alignment horizontal="center"/>
    </xf>
    <xf numFmtId="0" fontId="7" fillId="6" borderId="34" xfId="0" applyFont="1" applyFill="1" applyBorder="1"/>
    <xf numFmtId="0" fontId="7" fillId="6" borderId="33" xfId="0" applyFont="1" applyFill="1" applyBorder="1"/>
    <xf numFmtId="0" fontId="2" fillId="6" borderId="0" xfId="0" applyFont="1" applyFill="1" applyAlignment="1">
      <alignment horizontal="center" wrapText="1"/>
    </xf>
    <xf numFmtId="17" fontId="2" fillId="14" borderId="0" xfId="0" applyNumberFormat="1" applyFont="1" applyFill="1" applyAlignment="1">
      <alignment horizontal="center"/>
    </xf>
    <xf numFmtId="17" fontId="2" fillId="6" borderId="35" xfId="0" applyNumberFormat="1" applyFont="1" applyFill="1" applyBorder="1" applyAlignment="1">
      <alignment horizontal="center"/>
    </xf>
    <xf numFmtId="164" fontId="14" fillId="14" borderId="12" xfId="0" applyNumberFormat="1" applyFont="1" applyFill="1" applyBorder="1"/>
    <xf numFmtId="164" fontId="14" fillId="0" borderId="36" xfId="0" applyNumberFormat="1" applyFont="1" applyBorder="1" applyAlignment="1">
      <alignment wrapText="1"/>
    </xf>
    <xf numFmtId="167" fontId="7" fillId="6" borderId="37" xfId="0" applyNumberFormat="1" applyFont="1" applyFill="1" applyBorder="1"/>
    <xf numFmtId="167" fontId="7" fillId="6" borderId="38" xfId="0" applyNumberFormat="1" applyFont="1" applyFill="1" applyBorder="1"/>
    <xf numFmtId="42" fontId="7" fillId="0" borderId="0" xfId="0" applyNumberFormat="1" applyFont="1" applyAlignment="1">
      <alignment horizontal="right"/>
    </xf>
    <xf numFmtId="42" fontId="7" fillId="14" borderId="0" xfId="0" applyNumberFormat="1" applyFont="1" applyFill="1" applyAlignment="1">
      <alignment horizontal="right"/>
    </xf>
    <xf numFmtId="42" fontId="7" fillId="0" borderId="36" xfId="0" applyNumberFormat="1" applyFont="1" applyBorder="1" applyAlignment="1">
      <alignment horizontal="right"/>
    </xf>
    <xf numFmtId="42" fontId="14" fillId="14" borderId="12" xfId="0" applyNumberFormat="1" applyFont="1" applyFill="1" applyBorder="1"/>
    <xf numFmtId="42" fontId="7" fillId="0" borderId="12" xfId="0" applyNumberFormat="1" applyFont="1" applyBorder="1"/>
    <xf numFmtId="167" fontId="7" fillId="6" borderId="39" xfId="0" applyNumberFormat="1" applyFont="1" applyFill="1" applyBorder="1"/>
    <xf numFmtId="167" fontId="7" fillId="6" borderId="40" xfId="0" applyNumberFormat="1" applyFont="1" applyFill="1" applyBorder="1"/>
    <xf numFmtId="41" fontId="14" fillId="14" borderId="12" xfId="0" applyNumberFormat="1" applyFont="1" applyFill="1" applyBorder="1"/>
    <xf numFmtId="167" fontId="7" fillId="6" borderId="0" xfId="0" applyNumberFormat="1" applyFont="1" applyFill="1"/>
    <xf numFmtId="167" fontId="7" fillId="6" borderId="36" xfId="0" applyNumberFormat="1" applyFont="1" applyFill="1" applyBorder="1"/>
    <xf numFmtId="167" fontId="7" fillId="6" borderId="41" xfId="0" applyNumberFormat="1" applyFont="1" applyFill="1" applyBorder="1"/>
    <xf numFmtId="42" fontId="7" fillId="0" borderId="40" xfId="0" applyNumberFormat="1" applyFont="1" applyBorder="1" applyAlignment="1">
      <alignment horizontal="right"/>
    </xf>
    <xf numFmtId="42" fontId="7" fillId="0" borderId="42" xfId="0" applyNumberFormat="1" applyFont="1" applyBorder="1"/>
    <xf numFmtId="0" fontId="7" fillId="6" borderId="43" xfId="0" applyFont="1" applyFill="1" applyBorder="1"/>
    <xf numFmtId="167" fontId="7" fillId="6" borderId="44" xfId="0" applyNumberFormat="1" applyFont="1" applyFill="1" applyBorder="1"/>
    <xf numFmtId="0" fontId="14" fillId="6" borderId="15" xfId="0" applyFont="1" applyFill="1" applyBorder="1"/>
    <xf numFmtId="167" fontId="7" fillId="6" borderId="12" xfId="0" applyNumberFormat="1" applyFont="1" applyFill="1" applyBorder="1"/>
    <xf numFmtId="167" fontId="7" fillId="6" borderId="45" xfId="0" applyNumberFormat="1" applyFont="1" applyFill="1" applyBorder="1"/>
    <xf numFmtId="0" fontId="7" fillId="6" borderId="0" xfId="0" applyFont="1" applyFill="1"/>
    <xf numFmtId="167" fontId="7" fillId="0" borderId="0" xfId="0" applyNumberFormat="1" applyFont="1"/>
    <xf numFmtId="167" fontId="7" fillId="0" borderId="36" xfId="0" applyNumberFormat="1" applyFont="1" applyBorder="1"/>
    <xf numFmtId="167" fontId="7" fillId="0" borderId="46" xfId="0" applyNumberFormat="1" applyFont="1" applyBorder="1"/>
    <xf numFmtId="0" fontId="2" fillId="14" borderId="12" xfId="0" applyFont="1" applyFill="1" applyBorder="1"/>
    <xf numFmtId="0" fontId="7" fillId="6" borderId="47" xfId="0" applyFont="1" applyFill="1" applyBorder="1"/>
    <xf numFmtId="167" fontId="7" fillId="0" borderId="44" xfId="0" applyNumberFormat="1" applyFont="1" applyBorder="1"/>
    <xf numFmtId="167" fontId="7" fillId="15" borderId="48" xfId="0" applyNumberFormat="1" applyFont="1" applyFill="1" applyBorder="1"/>
    <xf numFmtId="167" fontId="7" fillId="15" borderId="49" xfId="0" applyNumberFormat="1" applyFont="1" applyFill="1" applyBorder="1"/>
    <xf numFmtId="42" fontId="7" fillId="15" borderId="0" xfId="0" applyNumberFormat="1" applyFont="1" applyFill="1" applyAlignment="1">
      <alignment horizontal="right"/>
    </xf>
    <xf numFmtId="167" fontId="7" fillId="15" borderId="45" xfId="0" applyNumberFormat="1" applyFont="1" applyFill="1" applyBorder="1"/>
    <xf numFmtId="167" fontId="7" fillId="15" borderId="29" xfId="0" applyNumberFormat="1" applyFont="1" applyFill="1" applyBorder="1"/>
    <xf numFmtId="0" fontId="7" fillId="6" borderId="15" xfId="0" applyFont="1" applyFill="1" applyBorder="1"/>
    <xf numFmtId="167" fontId="7" fillId="6" borderId="50" xfId="0" applyNumberFormat="1" applyFont="1" applyFill="1" applyBorder="1"/>
    <xf numFmtId="167" fontId="7" fillId="6" borderId="51" xfId="0" applyNumberFormat="1" applyFont="1" applyFill="1" applyBorder="1"/>
    <xf numFmtId="167" fontId="5" fillId="0" borderId="12" xfId="0" applyNumberFormat="1" applyFont="1" applyBorder="1"/>
    <xf numFmtId="167" fontId="7" fillId="6" borderId="42" xfId="0" applyNumberFormat="1" applyFont="1" applyFill="1" applyBorder="1"/>
    <xf numFmtId="42" fontId="14" fillId="14" borderId="12" xfId="0" applyNumberFormat="1" applyFont="1" applyFill="1" applyBorder="1" applyAlignment="1">
      <alignment horizontal="right"/>
    </xf>
    <xf numFmtId="42" fontId="14" fillId="14" borderId="36" xfId="0" applyNumberFormat="1" applyFont="1" applyFill="1" applyBorder="1" applyAlignment="1">
      <alignment horizontal="right"/>
    </xf>
    <xf numFmtId="42" fontId="5" fillId="0" borderId="12" xfId="0" applyNumberFormat="1" applyFont="1" applyBorder="1"/>
    <xf numFmtId="0" fontId="14" fillId="0" borderId="29" xfId="0" applyFont="1" applyBorder="1"/>
    <xf numFmtId="167" fontId="7" fillId="0" borderId="12" xfId="0" applyNumberFormat="1" applyFont="1" applyBorder="1"/>
    <xf numFmtId="167" fontId="7" fillId="0" borderId="42" xfId="0" applyNumberFormat="1" applyFont="1" applyBorder="1"/>
    <xf numFmtId="167" fontId="7" fillId="0" borderId="40" xfId="0" applyNumberFormat="1" applyFont="1" applyBorder="1"/>
    <xf numFmtId="167" fontId="14" fillId="6" borderId="47" xfId="0" applyNumberFormat="1" applyFont="1" applyFill="1" applyBorder="1"/>
    <xf numFmtId="164" fontId="14" fillId="16" borderId="0" xfId="0" applyNumberFormat="1" applyFont="1" applyFill="1"/>
    <xf numFmtId="42" fontId="14" fillId="16" borderId="0" xfId="0" applyNumberFormat="1" applyFont="1" applyFill="1" applyAlignment="1">
      <alignment horizontal="right"/>
    </xf>
    <xf numFmtId="164" fontId="14" fillId="14" borderId="0" xfId="0" applyNumberFormat="1" applyFont="1" applyFill="1"/>
    <xf numFmtId="167" fontId="14" fillId="16" borderId="52" xfId="0" applyNumberFormat="1" applyFont="1" applyFill="1" applyBorder="1"/>
    <xf numFmtId="164" fontId="14" fillId="14" borderId="52" xfId="0" applyNumberFormat="1" applyFont="1" applyFill="1" applyBorder="1"/>
    <xf numFmtId="0" fontId="15" fillId="0" borderId="0" xfId="0" applyFont="1"/>
    <xf numFmtId="42" fontId="7" fillId="6" borderId="47" xfId="0" applyNumberFormat="1" applyFont="1" applyFill="1" applyBorder="1"/>
    <xf numFmtId="42" fontId="7" fillId="6" borderId="53" xfId="0" applyNumberFormat="1" applyFont="1" applyFill="1" applyBorder="1"/>
    <xf numFmtId="42" fontId="7" fillId="0" borderId="0" xfId="0" applyNumberFormat="1" applyFont="1"/>
    <xf numFmtId="17" fontId="2" fillId="6" borderId="54" xfId="0" applyNumberFormat="1" applyFont="1" applyFill="1" applyBorder="1" applyAlignment="1">
      <alignment horizontal="center"/>
    </xf>
    <xf numFmtId="17" fontId="14" fillId="6" borderId="55" xfId="0" applyNumberFormat="1" applyFont="1" applyFill="1" applyBorder="1"/>
    <xf numFmtId="164" fontId="14" fillId="14" borderId="54" xfId="0" applyNumberFormat="1" applyFont="1" applyFill="1" applyBorder="1"/>
    <xf numFmtId="164" fontId="14" fillId="0" borderId="35" xfId="0" applyNumberFormat="1" applyFont="1" applyBorder="1" applyAlignment="1">
      <alignment wrapText="1"/>
    </xf>
    <xf numFmtId="164" fontId="14" fillId="0" borderId="15" xfId="0" applyNumberFormat="1" applyFont="1" applyBorder="1"/>
    <xf numFmtId="164" fontId="14" fillId="15" borderId="48" xfId="0" applyNumberFormat="1" applyFont="1" applyFill="1" applyBorder="1"/>
    <xf numFmtId="164" fontId="14" fillId="15" borderId="15" xfId="0" applyNumberFormat="1" applyFont="1" applyFill="1" applyBorder="1"/>
    <xf numFmtId="164" fontId="14" fillId="17" borderId="56" xfId="0" applyNumberFormat="1" applyFont="1" applyFill="1" applyBorder="1"/>
    <xf numFmtId="0" fontId="7" fillId="0" borderId="29" xfId="0" applyFont="1" applyBorder="1"/>
    <xf numFmtId="167" fontId="7" fillId="0" borderId="15" xfId="0" applyNumberFormat="1" applyFont="1" applyBorder="1"/>
    <xf numFmtId="167" fontId="7" fillId="0" borderId="38" xfId="0" applyNumberFormat="1" applyFont="1" applyBorder="1"/>
    <xf numFmtId="164" fontId="7" fillId="0" borderId="0" xfId="0" applyNumberFormat="1" applyFont="1"/>
    <xf numFmtId="164" fontId="7" fillId="14" borderId="0" xfId="0" applyNumberFormat="1" applyFont="1" applyFill="1" applyAlignment="1">
      <alignment horizontal="right"/>
    </xf>
    <xf numFmtId="164" fontId="7" fillId="0" borderId="36" xfId="0" applyNumberFormat="1" applyFont="1" applyBorder="1" applyAlignment="1">
      <alignment horizontal="right"/>
    </xf>
    <xf numFmtId="164" fontId="14" fillId="17" borderId="0" xfId="0" applyNumberFormat="1" applyFont="1" applyFill="1"/>
    <xf numFmtId="164" fontId="7" fillId="0" borderId="36" xfId="0" applyNumberFormat="1" applyFont="1" applyBorder="1"/>
    <xf numFmtId="164" fontId="7" fillId="0" borderId="46" xfId="0" applyNumberFormat="1" applyFont="1" applyBorder="1" applyAlignment="1">
      <alignment horizontal="right"/>
    </xf>
    <xf numFmtId="167" fontId="14" fillId="0" borderId="15" xfId="0" applyNumberFormat="1" applyFont="1" applyBorder="1"/>
    <xf numFmtId="167" fontId="14" fillId="18" borderId="49" xfId="0" applyNumberFormat="1" applyFont="1" applyFill="1" applyBorder="1"/>
    <xf numFmtId="164" fontId="14" fillId="18" borderId="0" xfId="0" applyNumberFormat="1" applyFont="1" applyFill="1"/>
    <xf numFmtId="164" fontId="14" fillId="14" borderId="0" xfId="0" applyNumberFormat="1" applyFont="1" applyFill="1" applyAlignment="1">
      <alignment horizontal="right"/>
    </xf>
    <xf numFmtId="164" fontId="14" fillId="18" borderId="36" xfId="0" applyNumberFormat="1" applyFont="1" applyFill="1" applyBorder="1" applyAlignment="1">
      <alignment horizontal="right"/>
    </xf>
    <xf numFmtId="164" fontId="5" fillId="0" borderId="46" xfId="0" applyNumberFormat="1" applyFont="1" applyBorder="1" applyAlignment="1">
      <alignment horizontal="right"/>
    </xf>
    <xf numFmtId="0" fontId="5" fillId="0" borderId="0" xfId="0" applyFont="1" applyAlignment="1">
      <alignment wrapText="1"/>
    </xf>
    <xf numFmtId="167" fontId="14" fillId="15" borderId="49" xfId="0" applyNumberFormat="1" applyFont="1" applyFill="1" applyBorder="1"/>
    <xf numFmtId="164" fontId="14" fillId="15" borderId="0" xfId="0" applyNumberFormat="1" applyFont="1" applyFill="1"/>
    <xf numFmtId="164" fontId="14" fillId="15" borderId="36" xfId="0" applyNumberFormat="1" applyFont="1" applyFill="1" applyBorder="1" applyAlignment="1">
      <alignment horizontal="right"/>
    </xf>
    <xf numFmtId="164" fontId="14" fillId="15" borderId="36" xfId="0" applyNumberFormat="1" applyFont="1" applyFill="1" applyBorder="1"/>
    <xf numFmtId="0" fontId="12" fillId="0" borderId="0" xfId="0" applyFont="1"/>
    <xf numFmtId="164" fontId="7" fillId="0" borderId="57" xfId="0" applyNumberFormat="1" applyFont="1" applyBorder="1" applyAlignment="1">
      <alignment horizontal="right"/>
    </xf>
    <xf numFmtId="164" fontId="14" fillId="0" borderId="0" xfId="0" applyNumberFormat="1" applyFont="1"/>
    <xf numFmtId="164" fontId="14" fillId="0" borderId="36" xfId="0" applyNumberFormat="1" applyFont="1" applyBorder="1"/>
    <xf numFmtId="164" fontId="14" fillId="18" borderId="36" xfId="0" applyNumberFormat="1" applyFont="1" applyFill="1" applyBorder="1"/>
    <xf numFmtId="0" fontId="14" fillId="0" borderId="0" xfId="0" applyFont="1"/>
    <xf numFmtId="167" fontId="7" fillId="0" borderId="57" xfId="0" applyNumberFormat="1" applyFont="1" applyBorder="1"/>
    <xf numFmtId="164" fontId="7" fillId="17" borderId="36" xfId="0" applyNumberFormat="1" applyFont="1" applyFill="1" applyBorder="1" applyAlignment="1">
      <alignment horizontal="right"/>
    </xf>
    <xf numFmtId="164" fontId="7" fillId="17" borderId="0" xfId="0" applyNumberFormat="1" applyFont="1" applyFill="1"/>
    <xf numFmtId="44" fontId="14" fillId="15" borderId="38" xfId="0" applyNumberFormat="1" applyFont="1" applyFill="1" applyBorder="1"/>
    <xf numFmtId="167" fontId="14" fillId="15" borderId="38" xfId="0" applyNumberFormat="1" applyFont="1" applyFill="1" applyBorder="1"/>
    <xf numFmtId="164" fontId="7" fillId="0" borderId="48" xfId="0" applyNumberFormat="1" applyFont="1" applyBorder="1"/>
    <xf numFmtId="164" fontId="14" fillId="15" borderId="46" xfId="0" applyNumberFormat="1" applyFont="1" applyFill="1" applyBorder="1"/>
    <xf numFmtId="167" fontId="14" fillId="15" borderId="46" xfId="0" applyNumberFormat="1" applyFont="1" applyFill="1" applyBorder="1"/>
    <xf numFmtId="167" fontId="7" fillId="18" borderId="46" xfId="0" applyNumberFormat="1" applyFont="1" applyFill="1" applyBorder="1"/>
    <xf numFmtId="164" fontId="7" fillId="18" borderId="36" xfId="0" applyNumberFormat="1" applyFont="1" applyFill="1" applyBorder="1" applyAlignment="1">
      <alignment horizontal="right"/>
    </xf>
    <xf numFmtId="0" fontId="7" fillId="0" borderId="29" xfId="0" applyFont="1" applyBorder="1" applyAlignment="1">
      <alignment wrapText="1"/>
    </xf>
    <xf numFmtId="164" fontId="7" fillId="18" borderId="36" xfId="0" applyNumberFormat="1" applyFont="1" applyFill="1" applyBorder="1"/>
    <xf numFmtId="167" fontId="7" fillId="0" borderId="58" xfId="0" applyNumberFormat="1" applyFont="1" applyBorder="1"/>
    <xf numFmtId="167" fontId="7" fillId="0" borderId="59" xfId="0" applyNumberFormat="1" applyFont="1" applyBorder="1"/>
    <xf numFmtId="167" fontId="14" fillId="15" borderId="48" xfId="0" applyNumberFormat="1" applyFont="1" applyFill="1" applyBorder="1"/>
    <xf numFmtId="164" fontId="14" fillId="15" borderId="57" xfId="0" applyNumberFormat="1" applyFont="1" applyFill="1" applyBorder="1" applyAlignment="1">
      <alignment horizontal="right"/>
    </xf>
    <xf numFmtId="164" fontId="7" fillId="14" borderId="0" xfId="0" applyNumberFormat="1" applyFont="1" applyFill="1"/>
    <xf numFmtId="164" fontId="7" fillId="6" borderId="60" xfId="0" applyNumberFormat="1" applyFont="1" applyFill="1" applyBorder="1"/>
    <xf numFmtId="164" fontId="7" fillId="6" borderId="36" xfId="0" applyNumberFormat="1" applyFont="1" applyFill="1" applyBorder="1"/>
    <xf numFmtId="164" fontId="7" fillId="0" borderId="60" xfId="0" applyNumberFormat="1" applyFont="1" applyBorder="1"/>
    <xf numFmtId="164" fontId="7" fillId="6" borderId="61" xfId="0" applyNumberFormat="1" applyFont="1" applyFill="1" applyBorder="1"/>
    <xf numFmtId="164" fontId="7" fillId="6" borderId="46" xfId="0" applyNumberFormat="1" applyFont="1" applyFill="1" applyBorder="1"/>
    <xf numFmtId="164" fontId="7" fillId="6" borderId="62" xfId="0" applyNumberFormat="1" applyFont="1" applyFill="1" applyBorder="1"/>
    <xf numFmtId="164" fontId="7" fillId="0" borderId="61" xfId="0" applyNumberFormat="1" applyFont="1" applyBorder="1"/>
    <xf numFmtId="164" fontId="7" fillId="0" borderId="57" xfId="0" applyNumberFormat="1" applyFont="1" applyBorder="1"/>
    <xf numFmtId="164" fontId="7" fillId="6" borderId="57" xfId="0" applyNumberFormat="1" applyFont="1" applyFill="1" applyBorder="1"/>
    <xf numFmtId="167" fontId="7" fillId="0" borderId="61" xfId="0" applyNumberFormat="1" applyFont="1" applyBorder="1"/>
    <xf numFmtId="164" fontId="7" fillId="0" borderId="61" xfId="0" applyNumberFormat="1" applyFont="1" applyBorder="1" applyAlignment="1">
      <alignment horizontal="right"/>
    </xf>
    <xf numFmtId="164" fontId="7" fillId="14" borderId="61" xfId="0" applyNumberFormat="1" applyFont="1" applyFill="1" applyBorder="1"/>
    <xf numFmtId="167" fontId="7" fillId="18" borderId="48" xfId="0" applyNumberFormat="1" applyFont="1" applyFill="1" applyBorder="1"/>
    <xf numFmtId="0" fontId="16" fillId="0" borderId="0" xfId="0" applyFont="1"/>
    <xf numFmtId="167" fontId="7" fillId="0" borderId="48" xfId="0" applyNumberFormat="1" applyFont="1" applyBorder="1"/>
    <xf numFmtId="164" fontId="14" fillId="15" borderId="3" xfId="0" applyNumberFormat="1" applyFont="1" applyFill="1" applyBorder="1" applyAlignment="1">
      <alignment horizontal="right"/>
    </xf>
    <xf numFmtId="164" fontId="7" fillId="15" borderId="3" xfId="0" applyNumberFormat="1" applyFont="1" applyFill="1" applyBorder="1" applyAlignment="1">
      <alignment horizontal="right"/>
    </xf>
    <xf numFmtId="164" fontId="14" fillId="15" borderId="2" xfId="0" applyNumberFormat="1" applyFont="1" applyFill="1" applyBorder="1"/>
    <xf numFmtId="164" fontId="14" fillId="15" borderId="3" xfId="0" applyNumberFormat="1" applyFont="1" applyFill="1" applyBorder="1"/>
    <xf numFmtId="0" fontId="17" fillId="0" borderId="0" xfId="0" applyFont="1"/>
    <xf numFmtId="167" fontId="14" fillId="16" borderId="3" xfId="0" applyNumberFormat="1" applyFont="1" applyFill="1" applyBorder="1"/>
    <xf numFmtId="164" fontId="14" fillId="16" borderId="2" xfId="0" applyNumberFormat="1" applyFont="1" applyFill="1" applyBorder="1"/>
    <xf numFmtId="164" fontId="14" fillId="14" borderId="2" xfId="0" applyNumberFormat="1" applyFont="1" applyFill="1" applyBorder="1" applyAlignment="1">
      <alignment horizontal="right"/>
    </xf>
    <xf numFmtId="164" fontId="14" fillId="17" borderId="4" xfId="0" applyNumberFormat="1" applyFont="1" applyFill="1" applyBorder="1"/>
    <xf numFmtId="167" fontId="14" fillId="16" borderId="63" xfId="0" applyNumberFormat="1" applyFont="1" applyFill="1" applyBorder="1"/>
    <xf numFmtId="5" fontId="14" fillId="0" borderId="0" xfId="0" applyNumberFormat="1" applyFont="1"/>
    <xf numFmtId="0" fontId="14" fillId="6" borderId="29" xfId="0" applyFont="1" applyFill="1" applyBorder="1" applyAlignment="1">
      <alignment horizontal="left"/>
    </xf>
    <xf numFmtId="164" fontId="7" fillId="6" borderId="0" xfId="0" applyNumberFormat="1" applyFont="1" applyFill="1"/>
    <xf numFmtId="164" fontId="7" fillId="6" borderId="52" xfId="0" applyNumberFormat="1" applyFont="1" applyFill="1" applyBorder="1"/>
    <xf numFmtId="164" fontId="14" fillId="0" borderId="52" xfId="0" applyNumberFormat="1" applyFont="1" applyBorder="1"/>
    <xf numFmtId="0" fontId="7" fillId="6" borderId="29" xfId="0" applyFont="1" applyFill="1" applyBorder="1" applyAlignment="1">
      <alignment horizontal="right"/>
    </xf>
    <xf numFmtId="164" fontId="7" fillId="19" borderId="0" xfId="0" applyNumberFormat="1" applyFont="1" applyFill="1"/>
    <xf numFmtId="164" fontId="7" fillId="19" borderId="64" xfId="0" applyNumberFormat="1" applyFont="1" applyFill="1" applyBorder="1"/>
    <xf numFmtId="164" fontId="7" fillId="17" borderId="64" xfId="0" applyNumberFormat="1" applyFont="1" applyFill="1" applyBorder="1"/>
    <xf numFmtId="164" fontId="7" fillId="20" borderId="64" xfId="0" applyNumberFormat="1" applyFont="1" applyFill="1" applyBorder="1"/>
    <xf numFmtId="0" fontId="7" fillId="19" borderId="0" xfId="0" applyFont="1" applyFill="1" applyAlignment="1">
      <alignment horizontal="center"/>
    </xf>
    <xf numFmtId="0" fontId="7" fillId="19" borderId="64" xfId="0" applyFont="1" applyFill="1" applyBorder="1" applyAlignment="1">
      <alignment horizontal="center"/>
    </xf>
    <xf numFmtId="0" fontId="7" fillId="20" borderId="64" xfId="0" applyFont="1" applyFill="1" applyBorder="1" applyAlignment="1">
      <alignment horizontal="center"/>
    </xf>
    <xf numFmtId="0" fontId="18" fillId="0" borderId="0" xfId="0" applyFont="1"/>
    <xf numFmtId="0" fontId="19" fillId="0" borderId="0" xfId="0" applyFont="1"/>
    <xf numFmtId="5" fontId="7" fillId="0" borderId="0" xfId="0" applyNumberFormat="1" applyFont="1"/>
    <xf numFmtId="0" fontId="20" fillId="0" borderId="0" xfId="0" applyFont="1"/>
    <xf numFmtId="167" fontId="7" fillId="6" borderId="29" xfId="0" applyNumberFormat="1" applyFont="1" applyFill="1" applyBorder="1"/>
    <xf numFmtId="166" fontId="14" fillId="6" borderId="30" xfId="0" applyNumberFormat="1" applyFont="1" applyFill="1" applyBorder="1"/>
    <xf numFmtId="166" fontId="7" fillId="6" borderId="65" xfId="0" applyNumberFormat="1" applyFont="1" applyFill="1" applyBorder="1"/>
    <xf numFmtId="42" fontId="7" fillId="6" borderId="43" xfId="0" applyNumberFormat="1" applyFont="1" applyFill="1" applyBorder="1"/>
    <xf numFmtId="0" fontId="7" fillId="6" borderId="2" xfId="0" applyFont="1" applyFill="1" applyBorder="1"/>
    <xf numFmtId="0" fontId="14" fillId="0" borderId="0" xfId="0" applyFont="1" applyAlignment="1">
      <alignment horizontal="center" wrapText="1"/>
    </xf>
    <xf numFmtId="41" fontId="7" fillId="14" borderId="0" xfId="0" applyNumberFormat="1" applyFont="1" applyFill="1"/>
    <xf numFmtId="41" fontId="14" fillId="0" borderId="0" xfId="0" applyNumberFormat="1" applyFont="1" applyAlignment="1">
      <alignment horizontal="center" wrapText="1"/>
    </xf>
    <xf numFmtId="164" fontId="14" fillId="14" borderId="36" xfId="0" applyNumberFormat="1" applyFont="1" applyFill="1" applyBorder="1"/>
    <xf numFmtId="164" fontId="7" fillId="14" borderId="36" xfId="0" applyNumberFormat="1" applyFont="1" applyFill="1" applyBorder="1"/>
    <xf numFmtId="167" fontId="14" fillId="21" borderId="29" xfId="0" applyNumberFormat="1" applyFont="1" applyFill="1" applyBorder="1"/>
    <xf numFmtId="164" fontId="14" fillId="21" borderId="29" xfId="0" applyNumberFormat="1" applyFont="1" applyFill="1" applyBorder="1"/>
    <xf numFmtId="42" fontId="7" fillId="0" borderId="0" xfId="0" applyNumberFormat="1" applyFont="1" applyAlignment="1">
      <alignment wrapText="1"/>
    </xf>
    <xf numFmtId="17" fontId="2" fillId="17" borderId="0" xfId="0" applyNumberFormat="1" applyFont="1" applyFill="1" applyAlignment="1">
      <alignment horizontal="center"/>
    </xf>
    <xf numFmtId="17" fontId="2" fillId="0" borderId="0" xfId="0" applyNumberFormat="1" applyFont="1" applyAlignment="1">
      <alignment horizontal="center"/>
    </xf>
    <xf numFmtId="17" fontId="2" fillId="6" borderId="66" xfId="0" applyNumberFormat="1" applyFont="1" applyFill="1" applyBorder="1" applyAlignment="1">
      <alignment horizontal="center"/>
    </xf>
    <xf numFmtId="0" fontId="2" fillId="14" borderId="35" xfId="0" applyFont="1" applyFill="1" applyBorder="1" applyAlignment="1">
      <alignment horizontal="center"/>
    </xf>
    <xf numFmtId="164" fontId="14" fillId="0" borderId="12" xfId="0" applyNumberFormat="1" applyFont="1" applyBorder="1" applyAlignment="1">
      <alignment wrapText="1"/>
    </xf>
    <xf numFmtId="167" fontId="14" fillId="15" borderId="0" xfId="0" applyNumberFormat="1" applyFont="1" applyFill="1"/>
    <xf numFmtId="164" fontId="14" fillId="15" borderId="0" xfId="0" applyNumberFormat="1" applyFont="1" applyFill="1" applyAlignment="1">
      <alignment horizontal="right"/>
    </xf>
    <xf numFmtId="164" fontId="14" fillId="17" borderId="0" xfId="0" applyNumberFormat="1" applyFont="1" applyFill="1" applyAlignment="1">
      <alignment horizontal="right"/>
    </xf>
    <xf numFmtId="164" fontId="14" fillId="0" borderId="0" xfId="0" applyNumberFormat="1" applyFont="1" applyAlignment="1">
      <alignment horizontal="left"/>
    </xf>
    <xf numFmtId="164" fontId="14" fillId="0" borderId="0" xfId="0" applyNumberFormat="1" applyFont="1" applyAlignment="1">
      <alignment horizontal="right"/>
    </xf>
    <xf numFmtId="164" fontId="5" fillId="17" borderId="0" xfId="0" applyNumberFormat="1" applyFont="1" applyFill="1" applyAlignment="1">
      <alignment horizontal="right"/>
    </xf>
    <xf numFmtId="164" fontId="5" fillId="0" borderId="0" xfId="0" applyNumberFormat="1" applyFont="1" applyAlignment="1">
      <alignment horizontal="left"/>
    </xf>
    <xf numFmtId="164" fontId="5" fillId="14" borderId="0" xfId="0" applyNumberFormat="1" applyFont="1" applyFill="1" applyAlignment="1">
      <alignment horizontal="right"/>
    </xf>
    <xf numFmtId="164" fontId="5" fillId="0" borderId="36" xfId="0" applyNumberFormat="1" applyFont="1" applyBorder="1" applyAlignment="1">
      <alignment horizontal="right"/>
    </xf>
    <xf numFmtId="164" fontId="5" fillId="0" borderId="12" xfId="0" applyNumberFormat="1" applyFont="1" applyBorder="1" applyAlignment="1">
      <alignment horizontal="right"/>
    </xf>
    <xf numFmtId="167" fontId="7" fillId="6" borderId="15" xfId="0" applyNumberFormat="1" applyFont="1" applyFill="1" applyBorder="1"/>
    <xf numFmtId="167" fontId="14" fillId="22" borderId="15" xfId="0" applyNumberFormat="1" applyFont="1" applyFill="1" applyBorder="1"/>
    <xf numFmtId="164" fontId="14" fillId="22" borderId="15" xfId="0" applyNumberFormat="1" applyFont="1" applyFill="1" applyBorder="1"/>
    <xf numFmtId="164" fontId="14" fillId="22" borderId="3" xfId="0" applyNumberFormat="1" applyFont="1" applyFill="1" applyBorder="1" applyAlignment="1">
      <alignment horizontal="right"/>
    </xf>
    <xf numFmtId="164" fontId="14" fillId="14" borderId="4" xfId="0" applyNumberFormat="1" applyFont="1" applyFill="1" applyBorder="1"/>
    <xf numFmtId="5" fontId="14" fillId="0" borderId="0" xfId="0" applyNumberFormat="1" applyFont="1" applyAlignment="1">
      <alignment wrapText="1"/>
    </xf>
    <xf numFmtId="164" fontId="7" fillId="0" borderId="52" xfId="0" applyNumberFormat="1" applyFont="1" applyBorder="1"/>
    <xf numFmtId="164" fontId="14" fillId="0" borderId="52" xfId="0" applyNumberFormat="1" applyFont="1" applyBorder="1" applyAlignment="1">
      <alignment wrapText="1"/>
    </xf>
    <xf numFmtId="167" fontId="13" fillId="0" borderId="0" xfId="0" applyNumberFormat="1" applyFont="1"/>
    <xf numFmtId="0" fontId="21" fillId="0" borderId="0" xfId="0" applyFont="1" applyAlignment="1">
      <alignment wrapText="1"/>
    </xf>
    <xf numFmtId="41" fontId="7" fillId="23" borderId="0" xfId="0" applyNumberFormat="1" applyFont="1" applyFill="1"/>
    <xf numFmtId="168" fontId="2" fillId="6" borderId="35" xfId="0" applyNumberFormat="1" applyFont="1" applyFill="1" applyBorder="1" applyAlignment="1">
      <alignment horizontal="center"/>
    </xf>
    <xf numFmtId="164" fontId="14" fillId="23" borderId="36" xfId="0" applyNumberFormat="1" applyFont="1" applyFill="1" applyBorder="1"/>
    <xf numFmtId="164" fontId="7" fillId="23" borderId="0" xfId="0" applyNumberFormat="1" applyFont="1" applyFill="1"/>
    <xf numFmtId="164" fontId="14" fillId="23" borderId="60" xfId="0" applyNumberFormat="1" applyFont="1" applyFill="1" applyBorder="1"/>
    <xf numFmtId="167" fontId="14" fillId="6" borderId="29" xfId="0" applyNumberFormat="1" applyFont="1" applyFill="1" applyBorder="1"/>
    <xf numFmtId="164" fontId="22" fillId="16" borderId="0" xfId="0" applyNumberFormat="1" applyFont="1" applyFill="1"/>
    <xf numFmtId="164" fontId="22" fillId="14" borderId="0" xfId="0" applyNumberFormat="1" applyFont="1" applyFill="1"/>
    <xf numFmtId="164" fontId="22" fillId="23" borderId="0" xfId="0" applyNumberFormat="1" applyFont="1" applyFill="1"/>
    <xf numFmtId="164" fontId="22" fillId="16" borderId="52" xfId="0" applyNumberFormat="1" applyFont="1" applyFill="1" applyBorder="1"/>
    <xf numFmtId="164" fontId="22" fillId="16" borderId="31" xfId="0" applyNumberFormat="1" applyFont="1" applyFill="1" applyBorder="1"/>
    <xf numFmtId="42" fontId="7" fillId="23" borderId="60" xfId="0" applyNumberFormat="1" applyFont="1" applyFill="1" applyBorder="1"/>
    <xf numFmtId="42" fontId="7" fillId="0" borderId="36" xfId="0" applyNumberFormat="1" applyFont="1" applyBorder="1"/>
    <xf numFmtId="42" fontId="7" fillId="6" borderId="15" xfId="0" applyNumberFormat="1" applyFont="1" applyFill="1" applyBorder="1"/>
    <xf numFmtId="42" fontId="7" fillId="6" borderId="0" xfId="0" applyNumberFormat="1" applyFont="1" applyFill="1"/>
    <xf numFmtId="42" fontId="7" fillId="6" borderId="67" xfId="0" applyNumberFormat="1" applyFont="1" applyFill="1" applyBorder="1"/>
    <xf numFmtId="0" fontId="5" fillId="6" borderId="0" xfId="0" applyFont="1" applyFill="1"/>
    <xf numFmtId="167" fontId="5" fillId="6" borderId="0" xfId="0" applyNumberFormat="1" applyFont="1" applyFill="1" applyAlignment="1">
      <alignment horizontal="right"/>
    </xf>
    <xf numFmtId="164" fontId="5" fillId="0" borderId="66" xfId="0" applyNumberFormat="1" applyFont="1" applyBorder="1" applyAlignment="1">
      <alignment horizontal="right"/>
    </xf>
    <xf numFmtId="164" fontId="5" fillId="0" borderId="35" xfId="0" applyNumberFormat="1" applyFont="1" applyBorder="1" applyAlignment="1">
      <alignment horizontal="right"/>
    </xf>
    <xf numFmtId="164" fontId="14" fillId="23" borderId="0" xfId="0" applyNumberFormat="1" applyFont="1" applyFill="1"/>
    <xf numFmtId="164" fontId="7" fillId="0" borderId="0" xfId="0" applyNumberFormat="1" applyFont="1" applyAlignment="1">
      <alignment horizontal="right"/>
    </xf>
    <xf numFmtId="164" fontId="7" fillId="0" borderId="60" xfId="0" applyNumberFormat="1" applyFont="1" applyBorder="1" applyAlignment="1">
      <alignment horizontal="right"/>
    </xf>
    <xf numFmtId="164" fontId="23" fillId="22" borderId="0" xfId="0" applyNumberFormat="1" applyFont="1" applyFill="1" applyAlignment="1">
      <alignment horizontal="right"/>
    </xf>
    <xf numFmtId="164" fontId="14" fillId="22" borderId="0" xfId="0" applyNumberFormat="1" applyFont="1" applyFill="1" applyAlignment="1">
      <alignment horizontal="right"/>
    </xf>
    <xf numFmtId="164" fontId="14" fillId="22" borderId="36" xfId="0" applyNumberFormat="1" applyFont="1" applyFill="1" applyBorder="1" applyAlignment="1">
      <alignment horizontal="right"/>
    </xf>
    <xf numFmtId="164" fontId="24" fillId="0" borderId="56" xfId="0" applyNumberFormat="1" applyFont="1" applyBorder="1" applyAlignment="1">
      <alignment horizontal="right"/>
    </xf>
    <xf numFmtId="164" fontId="5" fillId="0" borderId="0" xfId="0" applyNumberFormat="1" applyFont="1" applyAlignment="1">
      <alignment horizontal="left" wrapText="1"/>
    </xf>
    <xf numFmtId="42" fontId="5" fillId="0" borderId="0" xfId="0" applyNumberFormat="1" applyFont="1" applyAlignment="1">
      <alignment horizontal="right"/>
    </xf>
    <xf numFmtId="42" fontId="5" fillId="0" borderId="36" xfId="0" applyNumberFormat="1" applyFont="1" applyBorder="1" applyAlignment="1">
      <alignment horizontal="right"/>
    </xf>
    <xf numFmtId="42" fontId="5" fillId="24" borderId="12" xfId="0" applyNumberFormat="1" applyFont="1" applyFill="1" applyBorder="1" applyAlignment="1">
      <alignment horizontal="right"/>
    </xf>
    <xf numFmtId="42" fontId="5" fillId="0" borderId="12" xfId="0" applyNumberFormat="1" applyFont="1" applyBorder="1" applyAlignment="1">
      <alignment horizontal="right"/>
    </xf>
    <xf numFmtId="164" fontId="13" fillId="0" borderId="36" xfId="0" applyNumberFormat="1" applyFont="1" applyBorder="1"/>
    <xf numFmtId="164" fontId="5" fillId="0" borderId="3" xfId="0" applyNumberFormat="1" applyFont="1" applyBorder="1"/>
    <xf numFmtId="164" fontId="13" fillId="0" borderId="0" xfId="0" applyNumberFormat="1" applyFont="1" applyAlignment="1">
      <alignment horizontal="left"/>
    </xf>
    <xf numFmtId="164" fontId="14" fillId="15" borderId="35" xfId="0" applyNumberFormat="1" applyFont="1" applyFill="1" applyBorder="1" applyAlignment="1">
      <alignment horizontal="right"/>
    </xf>
    <xf numFmtId="164" fontId="7" fillId="18" borderId="0" xfId="0" applyNumberFormat="1" applyFont="1" applyFill="1"/>
    <xf numFmtId="164" fontId="14" fillId="18" borderId="0" xfId="0" applyNumberFormat="1" applyFont="1" applyFill="1" applyAlignment="1">
      <alignment horizontal="right"/>
    </xf>
    <xf numFmtId="164" fontId="7" fillId="17" borderId="0" xfId="0" applyNumberFormat="1" applyFont="1" applyFill="1" applyAlignment="1">
      <alignment horizontal="right"/>
    </xf>
    <xf numFmtId="164" fontId="5" fillId="18" borderId="36" xfId="0" applyNumberFormat="1" applyFont="1" applyFill="1" applyBorder="1"/>
    <xf numFmtId="164" fontId="7" fillId="14" borderId="12" xfId="0" applyNumberFormat="1" applyFont="1" applyFill="1" applyBorder="1"/>
    <xf numFmtId="164" fontId="7" fillId="18" borderId="12" xfId="0" applyNumberFormat="1" applyFont="1" applyFill="1" applyBorder="1" applyAlignment="1">
      <alignment wrapText="1"/>
    </xf>
    <xf numFmtId="164" fontId="5" fillId="0" borderId="0" xfId="0" applyNumberFormat="1" applyFont="1"/>
    <xf numFmtId="164" fontId="5" fillId="0" borderId="36" xfId="0" applyNumberFormat="1" applyFont="1" applyBorder="1"/>
    <xf numFmtId="164" fontId="7" fillId="0" borderId="12" xfId="0" applyNumberFormat="1" applyFont="1" applyBorder="1" applyAlignment="1">
      <alignment wrapText="1"/>
    </xf>
    <xf numFmtId="164" fontId="13" fillId="0" borderId="0" xfId="0" applyNumberFormat="1" applyFont="1" applyAlignment="1">
      <alignment horizontal="left" wrapText="1"/>
    </xf>
    <xf numFmtId="164" fontId="5" fillId="0" borderId="12" xfId="0" applyNumberFormat="1" applyFont="1" applyBorder="1"/>
    <xf numFmtId="169" fontId="5" fillId="0" borderId="36" xfId="0" applyNumberFormat="1" applyFont="1" applyBorder="1" applyAlignment="1">
      <alignment horizontal="center"/>
    </xf>
    <xf numFmtId="167" fontId="14" fillId="0" borderId="0" xfId="0" applyNumberFormat="1" applyFont="1"/>
    <xf numFmtId="164" fontId="14" fillId="0" borderId="36" xfId="0" applyNumberFormat="1" applyFont="1" applyBorder="1" applyAlignment="1">
      <alignment horizontal="right"/>
    </xf>
    <xf numFmtId="164" fontId="14" fillId="0" borderId="12" xfId="0" applyNumberFormat="1" applyFont="1" applyBorder="1" applyAlignment="1">
      <alignment horizontal="right"/>
    </xf>
    <xf numFmtId="164" fontId="7" fillId="0" borderId="12" xfId="0" applyNumberFormat="1" applyFont="1" applyBorder="1" applyAlignment="1">
      <alignment horizontal="right"/>
    </xf>
    <xf numFmtId="164" fontId="13" fillId="0" borderId="12" xfId="0" applyNumberFormat="1" applyFont="1" applyBorder="1"/>
    <xf numFmtId="167" fontId="14" fillId="15" borderId="15" xfId="0" applyNumberFormat="1" applyFont="1" applyFill="1" applyBorder="1"/>
    <xf numFmtId="167" fontId="14" fillId="6" borderId="15" xfId="0" applyNumberFormat="1" applyFont="1" applyFill="1" applyBorder="1"/>
    <xf numFmtId="164" fontId="2" fillId="0" borderId="12" xfId="0" applyNumberFormat="1" applyFont="1" applyBorder="1" applyAlignment="1">
      <alignment horizontal="right"/>
    </xf>
    <xf numFmtId="164" fontId="5" fillId="14" borderId="36" xfId="0" applyNumberFormat="1" applyFont="1" applyFill="1" applyBorder="1"/>
    <xf numFmtId="164" fontId="7" fillId="0" borderId="0" xfId="0" applyNumberFormat="1" applyFont="1" applyAlignment="1">
      <alignment horizontal="center"/>
    </xf>
    <xf numFmtId="167" fontId="14" fillId="16" borderId="29" xfId="0" applyNumberFormat="1" applyFont="1" applyFill="1" applyBorder="1"/>
    <xf numFmtId="164" fontId="22" fillId="14" borderId="52" xfId="0" applyNumberFormat="1" applyFont="1" applyFill="1" applyBorder="1"/>
    <xf numFmtId="164" fontId="7" fillId="0" borderId="0" xfId="0" applyNumberFormat="1" applyFont="1" applyAlignment="1">
      <alignment horizontal="left"/>
    </xf>
    <xf numFmtId="164" fontId="7" fillId="0" borderId="35" xfId="0" applyNumberFormat="1" applyFont="1" applyBorder="1" applyAlignment="1">
      <alignment horizontal="right"/>
    </xf>
    <xf numFmtId="164" fontId="7" fillId="14" borderId="35" xfId="0" applyNumberFormat="1" applyFont="1" applyFill="1" applyBorder="1" applyAlignment="1">
      <alignment horizontal="right"/>
    </xf>
    <xf numFmtId="164" fontId="7" fillId="14" borderId="36" xfId="0" applyNumberFormat="1" applyFont="1" applyFill="1" applyBorder="1" applyAlignment="1">
      <alignment horizontal="right"/>
    </xf>
    <xf numFmtId="164" fontId="14" fillId="14" borderId="3" xfId="0" applyNumberFormat="1" applyFont="1" applyFill="1" applyBorder="1" applyAlignment="1">
      <alignment horizontal="right"/>
    </xf>
    <xf numFmtId="164" fontId="5" fillId="14" borderId="35" xfId="0" applyNumberFormat="1" applyFont="1" applyFill="1" applyBorder="1"/>
    <xf numFmtId="164" fontId="5" fillId="0" borderId="4" xfId="0" applyNumberFormat="1" applyFont="1" applyBorder="1" applyAlignment="1">
      <alignment horizontal="right"/>
    </xf>
    <xf numFmtId="164" fontId="5" fillId="14" borderId="4" xfId="0" applyNumberFormat="1" applyFont="1" applyFill="1" applyBorder="1" applyAlignment="1">
      <alignment horizontal="right"/>
    </xf>
    <xf numFmtId="164" fontId="14" fillId="16" borderId="52" xfId="0" applyNumberFormat="1" applyFont="1" applyFill="1" applyBorder="1"/>
    <xf numFmtId="42" fontId="7" fillId="0" borderId="29" xfId="0" applyNumberFormat="1" applyFont="1" applyBorder="1"/>
    <xf numFmtId="164" fontId="2" fillId="0" borderId="0" xfId="0" applyNumberFormat="1" applyFont="1"/>
    <xf numFmtId="164" fontId="14" fillId="0" borderId="35" xfId="0" applyNumberFormat="1" applyFont="1" applyBorder="1" applyAlignment="1">
      <alignment horizontal="right"/>
    </xf>
    <xf numFmtId="164" fontId="14" fillId="14" borderId="35" xfId="0" applyNumberFormat="1" applyFont="1" applyFill="1" applyBorder="1" applyAlignment="1">
      <alignment horizontal="right"/>
    </xf>
    <xf numFmtId="164" fontId="2" fillId="15" borderId="0" xfId="0" applyNumberFormat="1" applyFont="1" applyFill="1"/>
    <xf numFmtId="167" fontId="14" fillId="15" borderId="68" xfId="0" applyNumberFormat="1" applyFont="1" applyFill="1" applyBorder="1"/>
    <xf numFmtId="164" fontId="14" fillId="14" borderId="36" xfId="0" applyNumberFormat="1" applyFont="1" applyFill="1" applyBorder="1" applyAlignment="1">
      <alignment horizontal="right"/>
    </xf>
    <xf numFmtId="164" fontId="5" fillId="14" borderId="12" xfId="0" applyNumberFormat="1" applyFont="1" applyFill="1" applyBorder="1" applyAlignment="1">
      <alignment horizontal="right"/>
    </xf>
    <xf numFmtId="164" fontId="5" fillId="18" borderId="0" xfId="0" applyNumberFormat="1" applyFont="1" applyFill="1"/>
    <xf numFmtId="164" fontId="7" fillId="18" borderId="0" xfId="0" applyNumberFormat="1" applyFont="1" applyFill="1" applyAlignment="1">
      <alignment horizontal="right"/>
    </xf>
    <xf numFmtId="164" fontId="5" fillId="18" borderId="12" xfId="0" applyNumberFormat="1" applyFont="1" applyFill="1" applyBorder="1" applyAlignment="1">
      <alignment horizontal="right"/>
    </xf>
    <xf numFmtId="164" fontId="25" fillId="6" borderId="0" xfId="0" applyNumberFormat="1" applyFont="1" applyFill="1"/>
    <xf numFmtId="164" fontId="13" fillId="0" borderId="0" xfId="0" applyNumberFormat="1" applyFont="1"/>
    <xf numFmtId="164" fontId="5" fillId="0" borderId="0" xfId="0" applyNumberFormat="1" applyFont="1" applyAlignment="1">
      <alignment horizontal="center" wrapText="1"/>
    </xf>
    <xf numFmtId="44" fontId="14" fillId="14" borderId="0" xfId="0" applyNumberFormat="1" applyFont="1" applyFill="1" applyAlignment="1">
      <alignment horizontal="right"/>
    </xf>
    <xf numFmtId="44" fontId="14" fillId="0" borderId="0" xfId="0" applyNumberFormat="1" applyFont="1" applyAlignment="1">
      <alignment horizontal="right"/>
    </xf>
    <xf numFmtId="44" fontId="14" fillId="15" borderId="36" xfId="0" applyNumberFormat="1" applyFont="1" applyFill="1" applyBorder="1" applyAlignment="1">
      <alignment horizontal="right"/>
    </xf>
    <xf numFmtId="44" fontId="7" fillId="0" borderId="0" xfId="0" applyNumberFormat="1" applyFont="1" applyAlignment="1">
      <alignment horizontal="right"/>
    </xf>
    <xf numFmtId="44" fontId="7" fillId="14" borderId="0" xfId="0" applyNumberFormat="1" applyFont="1" applyFill="1" applyAlignment="1">
      <alignment horizontal="right"/>
    </xf>
    <xf numFmtId="44" fontId="7" fillId="0" borderId="36" xfId="0" applyNumberFormat="1" applyFont="1" applyBorder="1" applyAlignment="1">
      <alignment horizontal="right"/>
    </xf>
    <xf numFmtId="42" fontId="7" fillId="0" borderId="47" xfId="0" applyNumberFormat="1" applyFont="1" applyBorder="1"/>
    <xf numFmtId="164" fontId="7" fillId="6" borderId="47" xfId="0" applyNumberFormat="1" applyFont="1" applyFill="1" applyBorder="1"/>
    <xf numFmtId="164" fontId="7" fillId="14" borderId="52" xfId="0" applyNumberFormat="1" applyFont="1" applyFill="1" applyBorder="1"/>
    <xf numFmtId="164" fontId="19" fillId="0" borderId="0" xfId="0" applyNumberFormat="1" applyFont="1"/>
    <xf numFmtId="164" fontId="7" fillId="0" borderId="52" xfId="0" applyNumberFormat="1" applyFont="1" applyBorder="1" applyAlignment="1">
      <alignment horizontal="left" wrapText="1"/>
    </xf>
    <xf numFmtId="164" fontId="7" fillId="0" borderId="36" xfId="0" applyNumberFormat="1" applyFont="1" applyBorder="1" applyAlignment="1">
      <alignment wrapText="1"/>
    </xf>
    <xf numFmtId="164" fontId="7" fillId="16" borderId="0" xfId="0" applyNumberFormat="1" applyFont="1" applyFill="1"/>
    <xf numFmtId="164" fontId="5" fillId="14" borderId="35" xfId="0" applyNumberFormat="1" applyFont="1" applyFill="1" applyBorder="1" applyAlignment="1">
      <alignment horizontal="right"/>
    </xf>
    <xf numFmtId="164" fontId="5" fillId="0" borderId="0" xfId="0" applyNumberFormat="1" applyFont="1" applyAlignment="1">
      <alignment wrapText="1"/>
    </xf>
    <xf numFmtId="0" fontId="13" fillId="0" borderId="0" xfId="0" applyFont="1"/>
    <xf numFmtId="164" fontId="2" fillId="6" borderId="35" xfId="0" applyNumberFormat="1" applyFont="1" applyFill="1" applyBorder="1" applyAlignment="1">
      <alignment horizontal="center"/>
    </xf>
    <xf numFmtId="164" fontId="5" fillId="23" borderId="36" xfId="0" applyNumberFormat="1" applyFont="1" applyFill="1" applyBorder="1"/>
    <xf numFmtId="164" fontId="7" fillId="0" borderId="0" xfId="0" applyNumberFormat="1" applyFont="1" applyAlignment="1">
      <alignment horizontal="center" wrapText="1"/>
    </xf>
    <xf numFmtId="164" fontId="5" fillId="23" borderId="36" xfId="0" applyNumberFormat="1" applyFont="1" applyFill="1" applyBorder="1" applyAlignment="1">
      <alignment horizontal="right"/>
    </xf>
    <xf numFmtId="164" fontId="5" fillId="0" borderId="3" xfId="0" applyNumberFormat="1" applyFont="1" applyBorder="1" applyAlignment="1">
      <alignment horizontal="right"/>
    </xf>
    <xf numFmtId="164" fontId="26" fillId="14" borderId="0" xfId="0" applyNumberFormat="1" applyFont="1" applyFill="1"/>
    <xf numFmtId="164" fontId="26" fillId="0" borderId="0" xfId="0" applyNumberFormat="1" applyFont="1"/>
    <xf numFmtId="164" fontId="26" fillId="0" borderId="52" xfId="0" applyNumberFormat="1" applyFont="1" applyBorder="1"/>
    <xf numFmtId="164" fontId="27" fillId="23" borderId="36" xfId="0" applyNumberFormat="1" applyFont="1" applyFill="1" applyBorder="1" applyAlignment="1">
      <alignment horizontal="right"/>
    </xf>
    <xf numFmtId="42" fontId="5" fillId="0" borderId="0" xfId="0" applyNumberFormat="1" applyFont="1"/>
    <xf numFmtId="42" fontId="5" fillId="23" borderId="56" xfId="0" applyNumberFormat="1" applyFont="1" applyFill="1" applyBorder="1"/>
    <xf numFmtId="164" fontId="28" fillId="0" borderId="0" xfId="0" applyNumberFormat="1" applyFont="1" applyAlignment="1">
      <alignment horizontal="center" wrapText="1"/>
    </xf>
    <xf numFmtId="164" fontId="13" fillId="14" borderId="12" xfId="0" applyNumberFormat="1" applyFont="1" applyFill="1" applyBorder="1"/>
    <xf numFmtId="164" fontId="13" fillId="0" borderId="54" xfId="0" applyNumberFormat="1" applyFont="1" applyBorder="1"/>
    <xf numFmtId="164" fontId="2" fillId="0" borderId="54" xfId="0" applyNumberFormat="1" applyFont="1" applyBorder="1" applyAlignment="1">
      <alignment horizontal="right"/>
    </xf>
    <xf numFmtId="164" fontId="2" fillId="0" borderId="36" xfId="0" applyNumberFormat="1" applyFont="1" applyBorder="1" applyAlignment="1">
      <alignment horizontal="right"/>
    </xf>
    <xf numFmtId="164" fontId="29" fillId="0" borderId="0" xfId="0" applyNumberFormat="1" applyFont="1" applyAlignment="1">
      <alignment horizontal="center" wrapText="1"/>
    </xf>
    <xf numFmtId="164" fontId="2" fillId="23" borderId="36" xfId="0" applyNumberFormat="1" applyFont="1" applyFill="1" applyBorder="1" applyAlignment="1">
      <alignment horizontal="right"/>
    </xf>
    <xf numFmtId="167" fontId="7" fillId="18" borderId="0" xfId="0" applyNumberFormat="1" applyFont="1" applyFill="1"/>
    <xf numFmtId="164" fontId="24" fillId="14" borderId="0" xfId="0" applyNumberFormat="1" applyFont="1" applyFill="1" applyAlignment="1">
      <alignment horizontal="right"/>
    </xf>
    <xf numFmtId="164" fontId="24" fillId="0" borderId="0" xfId="0" applyNumberFormat="1" applyFont="1" applyAlignment="1">
      <alignment horizontal="right"/>
    </xf>
    <xf numFmtId="164" fontId="24" fillId="22" borderId="3" xfId="0" applyNumberFormat="1" applyFont="1" applyFill="1" applyBorder="1" applyAlignment="1">
      <alignment horizontal="right"/>
    </xf>
    <xf numFmtId="164" fontId="30" fillId="23" borderId="3" xfId="0" applyNumberFormat="1" applyFont="1" applyFill="1" applyBorder="1" applyAlignment="1">
      <alignment horizontal="right"/>
    </xf>
    <xf numFmtId="164" fontId="21" fillId="0" borderId="0" xfId="0" applyNumberFormat="1" applyFont="1"/>
    <xf numFmtId="164" fontId="31" fillId="14" borderId="0" xfId="0" applyNumberFormat="1" applyFont="1" applyFill="1"/>
    <xf numFmtId="164" fontId="7" fillId="6" borderId="43" xfId="0" applyNumberFormat="1" applyFont="1" applyFill="1" applyBorder="1"/>
    <xf numFmtId="164" fontId="31" fillId="14" borderId="0" xfId="0" applyNumberFormat="1" applyFont="1" applyFill="1" applyAlignment="1">
      <alignment horizontal="right"/>
    </xf>
    <xf numFmtId="164" fontId="26" fillId="14" borderId="0" xfId="0" applyNumberFormat="1" applyFont="1" applyFill="1" applyAlignment="1">
      <alignment horizontal="right"/>
    </xf>
    <xf numFmtId="166" fontId="7" fillId="6" borderId="29" xfId="0" applyNumberFormat="1" applyFont="1" applyFill="1" applyBorder="1"/>
    <xf numFmtId="17" fontId="14" fillId="0" borderId="36" xfId="0" applyNumberFormat="1" applyFont="1" applyBorder="1"/>
    <xf numFmtId="0" fontId="2" fillId="0" borderId="0" xfId="0" applyFont="1" applyAlignment="1">
      <alignment wrapText="1"/>
    </xf>
    <xf numFmtId="167" fontId="12" fillId="0" borderId="0" xfId="0" applyNumberFormat="1" applyFont="1"/>
    <xf numFmtId="167" fontId="5" fillId="0" borderId="0" xfId="0" applyNumberFormat="1" applyFont="1" applyAlignment="1">
      <alignment horizontal="right"/>
    </xf>
    <xf numFmtId="164" fontId="7" fillId="15" borderId="36" xfId="0" applyNumberFormat="1" applyFont="1" applyFill="1" applyBorder="1" applyAlignment="1">
      <alignment horizontal="right"/>
    </xf>
    <xf numFmtId="164" fontId="7" fillId="15" borderId="0" xfId="0" applyNumberFormat="1" applyFont="1" applyFill="1" applyAlignment="1">
      <alignment horizontal="right"/>
    </xf>
    <xf numFmtId="164" fontId="14" fillId="22" borderId="2" xfId="0" applyNumberFormat="1" applyFont="1" applyFill="1" applyBorder="1" applyAlignment="1">
      <alignment horizontal="right"/>
    </xf>
    <xf numFmtId="0" fontId="31" fillId="0" borderId="0" xfId="0" applyFont="1"/>
    <xf numFmtId="17" fontId="14" fillId="0" borderId="35" xfId="0" applyNumberFormat="1" applyFont="1" applyBorder="1"/>
    <xf numFmtId="164" fontId="14" fillId="14" borderId="35" xfId="0" applyNumberFormat="1" applyFont="1" applyFill="1" applyBorder="1"/>
    <xf numFmtId="164" fontId="5" fillId="14" borderId="36" xfId="0" applyNumberFormat="1" applyFont="1" applyFill="1" applyBorder="1" applyAlignment="1">
      <alignment horizontal="right"/>
    </xf>
    <xf numFmtId="164" fontId="7" fillId="0" borderId="3" xfId="0" applyNumberFormat="1" applyFont="1" applyBorder="1"/>
    <xf numFmtId="164" fontId="7" fillId="0" borderId="69" xfId="0" applyNumberFormat="1" applyFont="1" applyBorder="1"/>
    <xf numFmtId="164" fontId="14" fillId="16" borderId="3" xfId="0" applyNumberFormat="1" applyFont="1" applyFill="1" applyBorder="1"/>
    <xf numFmtId="164" fontId="14" fillId="14" borderId="3" xfId="0" applyNumberFormat="1" applyFont="1" applyFill="1" applyBorder="1"/>
    <xf numFmtId="164" fontId="7" fillId="6" borderId="0" xfId="0" applyNumberFormat="1" applyFont="1" applyFill="1" applyAlignment="1">
      <alignment horizontal="right"/>
    </xf>
    <xf numFmtId="167" fontId="14" fillId="18" borderId="15" xfId="0" applyNumberFormat="1" applyFont="1" applyFill="1" applyBorder="1"/>
    <xf numFmtId="164" fontId="2" fillId="18" borderId="36" xfId="0" applyNumberFormat="1" applyFont="1" applyFill="1" applyBorder="1" applyAlignment="1">
      <alignment horizontal="right"/>
    </xf>
    <xf numFmtId="164" fontId="2" fillId="6" borderId="0" xfId="0" applyNumberFormat="1" applyFont="1" applyFill="1" applyAlignment="1">
      <alignment horizontal="center" wrapText="1"/>
    </xf>
    <xf numFmtId="167" fontId="14" fillId="15" borderId="0" xfId="0" applyNumberFormat="1" applyFont="1" applyFill="1" applyAlignment="1">
      <alignment horizontal="right"/>
    </xf>
    <xf numFmtId="167" fontId="14" fillId="14" borderId="0" xfId="0" applyNumberFormat="1" applyFont="1" applyFill="1" applyAlignment="1">
      <alignment horizontal="right"/>
    </xf>
    <xf numFmtId="167" fontId="14" fillId="0" borderId="0" xfId="0" applyNumberFormat="1" applyFont="1" applyAlignment="1">
      <alignment horizontal="right"/>
    </xf>
    <xf numFmtId="167" fontId="14" fillId="15" borderId="36" xfId="0" applyNumberFormat="1" applyFont="1" applyFill="1" applyBorder="1" applyAlignment="1">
      <alignment horizontal="right"/>
    </xf>
    <xf numFmtId="167" fontId="14" fillId="14" borderId="36" xfId="0" applyNumberFormat="1" applyFont="1" applyFill="1" applyBorder="1" applyAlignment="1">
      <alignment horizontal="right"/>
    </xf>
    <xf numFmtId="42" fontId="5" fillId="14" borderId="0" xfId="0" applyNumberFormat="1" applyFont="1" applyFill="1" applyAlignment="1">
      <alignment horizontal="right"/>
    </xf>
    <xf numFmtId="42" fontId="5" fillId="14" borderId="12" xfId="0" applyNumberFormat="1" applyFont="1" applyFill="1" applyBorder="1" applyAlignment="1">
      <alignment horizontal="right"/>
    </xf>
    <xf numFmtId="42" fontId="5" fillId="14" borderId="0" xfId="0" applyNumberFormat="1" applyFont="1" applyFill="1"/>
    <xf numFmtId="42" fontId="5" fillId="0" borderId="36" xfId="0" applyNumberFormat="1" applyFont="1" applyBorder="1"/>
    <xf numFmtId="42" fontId="5" fillId="14" borderId="36" xfId="0" applyNumberFormat="1" applyFont="1" applyFill="1" applyBorder="1"/>
    <xf numFmtId="164" fontId="7" fillId="16" borderId="0" xfId="0" applyNumberFormat="1" applyFont="1" applyFill="1" applyAlignment="1">
      <alignment horizontal="right"/>
    </xf>
    <xf numFmtId="164" fontId="22" fillId="0" borderId="0" xfId="0" applyNumberFormat="1" applyFont="1"/>
    <xf numFmtId="42" fontId="7" fillId="14" borderId="0" xfId="0" applyNumberFormat="1" applyFont="1" applyFill="1"/>
    <xf numFmtId="167" fontId="2" fillId="0" borderId="0" xfId="0" applyNumberFormat="1" applyFont="1"/>
    <xf numFmtId="164" fontId="5" fillId="14" borderId="0" xfId="0" applyNumberFormat="1" applyFont="1" applyFill="1"/>
    <xf numFmtId="164" fontId="5" fillId="14" borderId="12" xfId="0" applyNumberFormat="1" applyFont="1" applyFill="1" applyBorder="1"/>
    <xf numFmtId="42" fontId="31" fillId="0" borderId="0" xfId="0" applyNumberFormat="1" applyFont="1"/>
    <xf numFmtId="164" fontId="31" fillId="0" borderId="0" xfId="0" applyNumberFormat="1" applyFont="1"/>
    <xf numFmtId="164" fontId="31" fillId="0" borderId="3" xfId="0" applyNumberFormat="1" applyFont="1" applyBorder="1"/>
    <xf numFmtId="164" fontId="31" fillId="14" borderId="3" xfId="0" applyNumberFormat="1" applyFont="1" applyFill="1" applyBorder="1"/>
    <xf numFmtId="164" fontId="2" fillId="15" borderId="0" xfId="0" applyNumberFormat="1" applyFont="1" applyFill="1" applyAlignment="1">
      <alignment horizontal="right"/>
    </xf>
    <xf numFmtId="164" fontId="2" fillId="15" borderId="36" xfId="0" applyNumberFormat="1" applyFont="1" applyFill="1" applyBorder="1" applyAlignment="1">
      <alignment horizontal="right"/>
    </xf>
    <xf numFmtId="164" fontId="2" fillId="15" borderId="12" xfId="0" applyNumberFormat="1" applyFont="1" applyFill="1" applyBorder="1" applyAlignment="1">
      <alignment horizontal="right"/>
    </xf>
    <xf numFmtId="0" fontId="25" fillId="6" borderId="0" xfId="0" applyFont="1" applyFill="1"/>
    <xf numFmtId="164" fontId="14" fillId="6" borderId="0" xfId="0" applyNumberFormat="1" applyFont="1" applyFill="1"/>
    <xf numFmtId="164" fontId="14" fillId="6" borderId="52" xfId="0" applyNumberFormat="1" applyFont="1" applyFill="1" applyBorder="1"/>
    <xf numFmtId="164" fontId="26" fillId="0" borderId="36" xfId="0" applyNumberFormat="1" applyFont="1" applyBorder="1"/>
    <xf numFmtId="164" fontId="26" fillId="14" borderId="36" xfId="0" applyNumberFormat="1" applyFont="1" applyFill="1" applyBorder="1"/>
    <xf numFmtId="164" fontId="26" fillId="14" borderId="52" xfId="0" applyNumberFormat="1" applyFont="1" applyFill="1" applyBorder="1"/>
    <xf numFmtId="164" fontId="7" fillId="14" borderId="12" xfId="0" applyNumberFormat="1" applyFont="1" applyFill="1" applyBorder="1" applyAlignment="1">
      <alignment horizontal="right"/>
    </xf>
    <xf numFmtId="0" fontId="7" fillId="6" borderId="29" xfId="0" applyFont="1" applyFill="1" applyBorder="1" applyAlignment="1">
      <alignment wrapText="1"/>
    </xf>
    <xf numFmtId="167" fontId="7" fillId="14" borderId="0" xfId="0" applyNumberFormat="1" applyFont="1" applyFill="1"/>
    <xf numFmtId="167" fontId="13" fillId="0" borderId="36" xfId="0" applyNumberFormat="1" applyFont="1" applyBorder="1"/>
    <xf numFmtId="167" fontId="7" fillId="14" borderId="12" xfId="0" applyNumberFormat="1" applyFont="1" applyFill="1" applyBorder="1"/>
    <xf numFmtId="167" fontId="13" fillId="0" borderId="3" xfId="0" applyNumberFormat="1" applyFont="1" applyBorder="1"/>
    <xf numFmtId="167" fontId="5" fillId="0" borderId="4" xfId="0" applyNumberFormat="1" applyFont="1" applyBorder="1"/>
    <xf numFmtId="167" fontId="7" fillId="14" borderId="4" xfId="0" applyNumberFormat="1" applyFont="1" applyFill="1" applyBorder="1"/>
    <xf numFmtId="167" fontId="14" fillId="22" borderId="0" xfId="0" applyNumberFormat="1" applyFont="1" applyFill="1"/>
    <xf numFmtId="164" fontId="14" fillId="22" borderId="0" xfId="0" applyNumberFormat="1" applyFont="1" applyFill="1"/>
    <xf numFmtId="167" fontId="14" fillId="14" borderId="0" xfId="0" applyNumberFormat="1" applyFont="1" applyFill="1"/>
    <xf numFmtId="167" fontId="14" fillId="22" borderId="52" xfId="0" applyNumberFormat="1" applyFont="1" applyFill="1" applyBorder="1"/>
    <xf numFmtId="167" fontId="14" fillId="14" borderId="52" xfId="0" applyNumberFormat="1" applyFont="1" applyFill="1" applyBorder="1"/>
    <xf numFmtId="0" fontId="32" fillId="0" borderId="0" xfId="0" applyFont="1"/>
    <xf numFmtId="167" fontId="19" fillId="0" borderId="0" xfId="0" applyNumberFormat="1" applyFont="1"/>
    <xf numFmtId="167" fontId="19" fillId="0" borderId="0" xfId="0" applyNumberFormat="1" applyFont="1" applyAlignment="1">
      <alignment horizontal="right"/>
    </xf>
    <xf numFmtId="164" fontId="22" fillId="0" borderId="52" xfId="0" applyNumberFormat="1" applyFont="1" applyBorder="1"/>
    <xf numFmtId="0" fontId="14" fillId="6" borderId="0" xfId="0" applyFont="1" applyFill="1"/>
    <xf numFmtId="167" fontId="14" fillId="6" borderId="0" xfId="0" applyNumberFormat="1" applyFont="1" applyFill="1"/>
    <xf numFmtId="164" fontId="5" fillId="0" borderId="60" xfId="0" applyNumberFormat="1" applyFont="1" applyBorder="1" applyAlignment="1">
      <alignment horizontal="right"/>
    </xf>
    <xf numFmtId="167" fontId="5" fillId="0" borderId="0" xfId="0" applyNumberFormat="1" applyFont="1" applyAlignment="1">
      <alignment horizontal="left" wrapText="1"/>
    </xf>
    <xf numFmtId="167" fontId="7" fillId="0" borderId="3" xfId="0" applyNumberFormat="1" applyFont="1" applyBorder="1"/>
    <xf numFmtId="164" fontId="7" fillId="0" borderId="4" xfId="0" applyNumberFormat="1" applyFont="1" applyBorder="1"/>
    <xf numFmtId="164" fontId="7" fillId="0" borderId="2" xfId="0" applyNumberFormat="1" applyFont="1" applyBorder="1"/>
    <xf numFmtId="167" fontId="7" fillId="14" borderId="36" xfId="0" applyNumberFormat="1" applyFont="1" applyFill="1" applyBorder="1"/>
    <xf numFmtId="167" fontId="24" fillId="22" borderId="0" xfId="0" applyNumberFormat="1" applyFont="1" applyFill="1"/>
    <xf numFmtId="164" fontId="24" fillId="22" borderId="0" xfId="0" applyNumberFormat="1" applyFont="1" applyFill="1"/>
    <xf numFmtId="167" fontId="24" fillId="14" borderId="0" xfId="0" applyNumberFormat="1" applyFont="1" applyFill="1"/>
    <xf numFmtId="167" fontId="24" fillId="22" borderId="3" xfId="0" applyNumberFormat="1" applyFont="1" applyFill="1" applyBorder="1"/>
    <xf numFmtId="167" fontId="24" fillId="22" borderId="52" xfId="0" applyNumberFormat="1" applyFont="1" applyFill="1" applyBorder="1"/>
    <xf numFmtId="167" fontId="24" fillId="14" borderId="3" xfId="0" applyNumberFormat="1" applyFont="1" applyFill="1" applyBorder="1"/>
    <xf numFmtId="164" fontId="5" fillId="6" borderId="0" xfId="0" applyNumberFormat="1" applyFont="1" applyFill="1" applyAlignment="1">
      <alignment wrapText="1"/>
    </xf>
    <xf numFmtId="164" fontId="13" fillId="0" borderId="4" xfId="0" applyNumberFormat="1" applyFont="1" applyBorder="1"/>
    <xf numFmtId="0" fontId="19" fillId="0" borderId="0" xfId="0" applyFont="1" applyAlignment="1">
      <alignment wrapText="1"/>
    </xf>
    <xf numFmtId="42" fontId="7" fillId="0" borderId="43" xfId="0" applyNumberFormat="1" applyFont="1" applyBorder="1"/>
    <xf numFmtId="0" fontId="13" fillId="6" borderId="0" xfId="0" applyFont="1" applyFill="1"/>
    <xf numFmtId="0" fontId="5" fillId="0" borderId="0" xfId="0" applyFont="1" applyAlignment="1">
      <alignment horizontal="right"/>
    </xf>
    <xf numFmtId="164" fontId="13" fillId="14" borderId="0" xfId="0" applyNumberFormat="1" applyFont="1" applyFill="1"/>
    <xf numFmtId="164" fontId="5" fillId="0" borderId="70" xfId="0" applyNumberFormat="1" applyFont="1" applyBorder="1" applyAlignment="1">
      <alignment horizontal="right"/>
    </xf>
    <xf numFmtId="164" fontId="13" fillId="14" borderId="54" xfId="0" applyNumberFormat="1" applyFont="1" applyFill="1" applyBorder="1"/>
    <xf numFmtId="164" fontId="14" fillId="15" borderId="70" xfId="0" applyNumberFormat="1" applyFont="1" applyFill="1" applyBorder="1" applyAlignment="1">
      <alignment horizontal="right"/>
    </xf>
    <xf numFmtId="164" fontId="14" fillId="14" borderId="12" xfId="0" applyNumberFormat="1" applyFont="1" applyFill="1" applyBorder="1" applyAlignment="1">
      <alignment horizontal="right"/>
    </xf>
    <xf numFmtId="164" fontId="7" fillId="0" borderId="70" xfId="0" applyNumberFormat="1" applyFont="1" applyBorder="1" applyAlignment="1">
      <alignment horizontal="right"/>
    </xf>
    <xf numFmtId="164" fontId="7" fillId="14" borderId="4" xfId="0" applyNumberFormat="1" applyFont="1" applyFill="1" applyBorder="1" applyAlignment="1">
      <alignment horizontal="right"/>
    </xf>
    <xf numFmtId="164" fontId="7" fillId="0" borderId="3" xfId="0" applyNumberFormat="1" applyFont="1" applyBorder="1" applyAlignment="1">
      <alignment horizontal="right"/>
    </xf>
    <xf numFmtId="167" fontId="14" fillId="22" borderId="3" xfId="0" applyNumberFormat="1" applyFont="1" applyFill="1" applyBorder="1"/>
    <xf numFmtId="167" fontId="14" fillId="14" borderId="3" xfId="0" applyNumberFormat="1" applyFont="1" applyFill="1" applyBorder="1"/>
    <xf numFmtId="164" fontId="23" fillId="16" borderId="0" xfId="0" applyNumberFormat="1" applyFont="1" applyFill="1" applyAlignment="1">
      <alignment horizontal="right"/>
    </xf>
    <xf numFmtId="164" fontId="5" fillId="0" borderId="54" xfId="0" applyNumberFormat="1" applyFont="1" applyBorder="1" applyAlignment="1">
      <alignment horizontal="right"/>
    </xf>
    <xf numFmtId="164" fontId="5" fillId="14" borderId="54" xfId="0" applyNumberFormat="1" applyFont="1" applyFill="1" applyBorder="1" applyAlignment="1">
      <alignment horizontal="right"/>
    </xf>
    <xf numFmtId="42" fontId="33" fillId="6" borderId="0" xfId="0" applyNumberFormat="1" applyFont="1" applyFill="1" applyAlignment="1">
      <alignment horizontal="left" wrapText="1"/>
    </xf>
    <xf numFmtId="164" fontId="34" fillId="0" borderId="4" xfId="0" applyNumberFormat="1" applyFont="1" applyBorder="1" applyAlignment="1">
      <alignment horizontal="right"/>
    </xf>
    <xf numFmtId="164" fontId="35" fillId="6" borderId="0" xfId="0" applyNumberFormat="1" applyFont="1" applyFill="1" applyAlignment="1">
      <alignment horizontal="right"/>
    </xf>
    <xf numFmtId="164" fontId="7" fillId="14" borderId="54" xfId="0" applyNumberFormat="1" applyFont="1" applyFill="1" applyBorder="1" applyAlignment="1">
      <alignment horizontal="right"/>
    </xf>
    <xf numFmtId="164" fontId="7" fillId="0" borderId="0" xfId="0" applyNumberFormat="1" applyFont="1" applyAlignment="1">
      <alignment wrapText="1"/>
    </xf>
    <xf numFmtId="167" fontId="7" fillId="14" borderId="2" xfId="0" applyNumberFormat="1" applyFont="1" applyFill="1" applyBorder="1"/>
    <xf numFmtId="0" fontId="36" fillId="0" borderId="0" xfId="0" applyFont="1"/>
    <xf numFmtId="0" fontId="37" fillId="0" borderId="0" xfId="0" applyFont="1"/>
    <xf numFmtId="0" fontId="38" fillId="0" borderId="0" xfId="0" applyFont="1" applyAlignment="1">
      <alignment wrapText="1"/>
    </xf>
    <xf numFmtId="0" fontId="38" fillId="0" borderId="0" xfId="0" applyFont="1"/>
    <xf numFmtId="164" fontId="5" fillId="6" borderId="36" xfId="0" applyNumberFormat="1" applyFont="1" applyFill="1" applyBorder="1" applyAlignment="1">
      <alignment horizontal="right"/>
    </xf>
    <xf numFmtId="164" fontId="13" fillId="6" borderId="12" xfId="0" applyNumberFormat="1" applyFont="1" applyFill="1" applyBorder="1"/>
    <xf numFmtId="164" fontId="5" fillId="6" borderId="12" xfId="0" applyNumberFormat="1" applyFont="1" applyFill="1" applyBorder="1" applyAlignment="1">
      <alignment horizontal="right"/>
    </xf>
    <xf numFmtId="164" fontId="7" fillId="6" borderId="36" xfId="0" applyNumberFormat="1" applyFont="1" applyFill="1" applyBorder="1" applyAlignment="1">
      <alignment horizontal="right"/>
    </xf>
    <xf numFmtId="164" fontId="13" fillId="6" borderId="36" xfId="0" applyNumberFormat="1" applyFont="1" applyFill="1" applyBorder="1"/>
    <xf numFmtId="164" fontId="7" fillId="0" borderId="0" xfId="0" applyNumberFormat="1" applyFont="1" applyAlignment="1">
      <alignment horizontal="left" wrapText="1"/>
    </xf>
    <xf numFmtId="164" fontId="5" fillId="6" borderId="0" xfId="0" applyNumberFormat="1" applyFont="1" applyFill="1" applyAlignment="1">
      <alignment horizontal="right"/>
    </xf>
    <xf numFmtId="164" fontId="13" fillId="6" borderId="3" xfId="0" applyNumberFormat="1" applyFont="1" applyFill="1" applyBorder="1"/>
    <xf numFmtId="164" fontId="13" fillId="6" borderId="4" xfId="0" applyNumberFormat="1" applyFont="1" applyFill="1" applyBorder="1"/>
    <xf numFmtId="164" fontId="14" fillId="22" borderId="52" xfId="0" applyNumberFormat="1" applyFont="1" applyFill="1" applyBorder="1"/>
    <xf numFmtId="164" fontId="7" fillId="0" borderId="35" xfId="0" applyNumberFormat="1" applyFont="1" applyBorder="1"/>
    <xf numFmtId="167" fontId="5" fillId="0" borderId="0" xfId="0" applyNumberFormat="1" applyFont="1"/>
    <xf numFmtId="164" fontId="5" fillId="14" borderId="3" xfId="0" applyNumberFormat="1" applyFont="1" applyFill="1" applyBorder="1" applyAlignment="1">
      <alignment horizontal="right"/>
    </xf>
    <xf numFmtId="0" fontId="1" fillId="0" borderId="0" xfId="0" applyFont="1"/>
    <xf numFmtId="0" fontId="0" fillId="0" borderId="0" xfId="0"/>
    <xf numFmtId="0" fontId="8" fillId="0" borderId="2" xfId="0" applyFont="1" applyBorder="1"/>
    <xf numFmtId="0" fontId="5" fillId="0" borderId="0" xfId="0" applyFont="1" applyAlignment="1">
      <alignment horizontal="center" wrapText="1"/>
    </xf>
    <xf numFmtId="0" fontId="5" fillId="8" borderId="19" xfId="0" applyFont="1" applyFill="1" applyBorder="1" applyAlignment="1">
      <alignment horizontal="center" vertical="center" wrapText="1"/>
    </xf>
    <xf numFmtId="0" fontId="12" fillId="9" borderId="0" xfId="0" applyFont="1" applyFill="1"/>
    <xf numFmtId="0" fontId="8" fillId="0" borderId="20" xfId="0" applyFont="1" applyBorder="1"/>
    <xf numFmtId="0" fontId="5" fillId="10" borderId="0" xfId="0" applyFont="1" applyFill="1" applyAlignment="1">
      <alignment horizontal="center" vertical="center"/>
    </xf>
    <xf numFmtId="0" fontId="5" fillId="12" borderId="0" xfId="0" applyFont="1" applyFill="1" applyAlignment="1">
      <alignment horizontal="center" vertical="center" wrapText="1"/>
    </xf>
    <xf numFmtId="0" fontId="13" fillId="9" borderId="18" xfId="0" applyFont="1" applyFill="1" applyBorder="1"/>
    <xf numFmtId="0" fontId="8" fillId="0" borderId="24" xfId="0" applyFont="1" applyBorder="1"/>
    <xf numFmtId="0" fontId="5" fillId="11" borderId="0" xfId="0" applyFont="1" applyFill="1" applyAlignment="1">
      <alignment horizontal="center" vertical="center" wrapText="1"/>
    </xf>
    <xf numFmtId="0" fontId="5" fillId="12" borderId="0" xfId="0" applyFont="1" applyFill="1" applyAlignment="1">
      <alignment horizontal="center" vertical="center"/>
    </xf>
    <xf numFmtId="0" fontId="5" fillId="8" borderId="0" xfId="0" applyFont="1" applyFill="1" applyAlignment="1">
      <alignment horizontal="center" vertical="center" wrapText="1"/>
    </xf>
    <xf numFmtId="0" fontId="14" fillId="6" borderId="31" xfId="0" applyFont="1" applyFill="1" applyBorder="1" applyAlignment="1">
      <alignment horizontal="center"/>
    </xf>
    <xf numFmtId="0" fontId="8" fillId="0" borderId="32" xfId="0" applyFont="1" applyBorder="1"/>
    <xf numFmtId="0" fontId="14" fillId="6" borderId="33" xfId="0" applyFont="1" applyFill="1" applyBorder="1" applyAlignment="1">
      <alignment horizontal="center"/>
    </xf>
    <xf numFmtId="0" fontId="14" fillId="6" borderId="2" xfId="0" applyFont="1" applyFill="1" applyBorder="1" applyAlignment="1">
      <alignment horizontal="center"/>
    </xf>
    <xf numFmtId="164" fontId="5" fillId="0" borderId="0" xfId="0" applyNumberFormat="1" applyFont="1" applyAlignment="1">
      <alignment horizontal="left" vertical="center"/>
    </xf>
    <xf numFmtId="42" fontId="5" fillId="0" borderId="0" xfId="0" applyNumberFormat="1" applyFont="1" applyAlignment="1">
      <alignment wrapText="1"/>
    </xf>
    <xf numFmtId="164" fontId="0" fillId="0" borderId="0" xfId="0" applyNumberFormat="1"/>
    <xf numFmtId="42" fontId="7" fillId="0" borderId="0" xfId="0" applyNumberFormat="1" applyFont="1" applyAlignment="1">
      <alignment horizontal="left" vertical="top" wrapText="1"/>
    </xf>
    <xf numFmtId="42" fontId="5" fillId="0" borderId="0" xfId="0" applyNumberFormat="1" applyFont="1" applyAlignment="1">
      <alignment horizontal="left" vertical="top" wrapText="1"/>
    </xf>
    <xf numFmtId="164" fontId="5" fillId="0" borderId="0" xfId="0" applyNumberFormat="1" applyFont="1" applyAlignment="1">
      <alignment horizontal="left" vertical="top" wrapText="1"/>
    </xf>
    <xf numFmtId="164" fontId="13" fillId="0" borderId="0" xfId="0" applyNumberFormat="1" applyFont="1" applyAlignment="1">
      <alignment horizontal="left" vertical="top" wrapText="1"/>
    </xf>
    <xf numFmtId="164" fontId="2" fillId="0" borderId="0" xfId="0" applyNumberFormat="1" applyFont="1" applyAlignment="1">
      <alignment horizontal="left" vertical="top" wrapText="1"/>
    </xf>
    <xf numFmtId="0" fontId="7" fillId="0" borderId="0" xfId="0" applyFont="1" applyAlignment="1">
      <alignment horizontal="left" vertical="top" wrapText="1"/>
    </xf>
    <xf numFmtId="0" fontId="14" fillId="0" borderId="0" xfId="0" applyFont="1" applyAlignment="1">
      <alignment horizontal="left" vertical="top" wrapText="1"/>
    </xf>
    <xf numFmtId="41" fontId="14" fillId="0" borderId="0" xfId="0" applyNumberFormat="1" applyFont="1" applyAlignment="1">
      <alignment horizontal="left" vertical="top" wrapText="1"/>
    </xf>
    <xf numFmtId="164" fontId="14" fillId="0" borderId="0" xfId="0" applyNumberFormat="1" applyFont="1" applyAlignment="1">
      <alignment horizontal="left" vertical="top" wrapText="1"/>
    </xf>
    <xf numFmtId="17" fontId="2" fillId="0" borderId="0" xfId="0" applyNumberFormat="1" applyFont="1" applyAlignment="1">
      <alignment horizontal="left" vertical="top" wrapText="1"/>
    </xf>
    <xf numFmtId="164" fontId="7" fillId="0" borderId="0" xfId="0" applyNumberFormat="1" applyFont="1" applyAlignment="1">
      <alignment horizontal="left" vertical="top" wrapText="1"/>
    </xf>
    <xf numFmtId="0" fontId="19" fillId="0" borderId="0" xfId="0" applyFont="1" applyAlignment="1">
      <alignment horizontal="left" vertical="top" wrapText="1"/>
    </xf>
    <xf numFmtId="0" fontId="0" fillId="0" borderId="0" xfId="0"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s://docs.google.com/spreadsheets/u/0/d/1QzcEUksC9EYiMpi-K7_S0MH_TnkqblFc_ag5MP_3QCo/edit" TargetMode="External"/><Relationship Id="rId2" Type="http://schemas.openxmlformats.org/officeDocument/2006/relationships/hyperlink" Target="https://docs.google.com/spreadsheets/d/11xq3b3fSDADKsELYNQ32V1ZFfXSllMwJcploc_qdfS4/edit?pli=1" TargetMode="External"/><Relationship Id="rId1" Type="http://schemas.openxmlformats.org/officeDocument/2006/relationships/hyperlink" Target="https://docs.google.com/spreadsheets/d/15VhDp1_r2VYCV2IaB2qDw4D0JqHmQf0fS2UTaFl_hAI/edi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23.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outlinePr summaryBelow="0" summaryRight="0"/>
  </sheetPr>
  <dimension ref="B1:K1009"/>
  <sheetViews>
    <sheetView topLeftCell="A49" workbookViewId="0">
      <selection activeCell="J108" sqref="J108"/>
    </sheetView>
  </sheetViews>
  <sheetFormatPr defaultColWidth="12.5703125" defaultRowHeight="15" customHeight="1"/>
  <cols>
    <col min="1" max="1" width="2.140625" customWidth="1"/>
    <col min="2" max="3" width="12.5703125" customWidth="1"/>
    <col min="4" max="4" width="21.28515625" customWidth="1"/>
    <col min="5" max="5" width="39" customWidth="1"/>
    <col min="6" max="6" width="3.7109375" customWidth="1"/>
    <col min="7" max="8" width="12.5703125" hidden="1" customWidth="1"/>
    <col min="9" max="9" width="3.7109375" hidden="1" customWidth="1"/>
  </cols>
  <sheetData>
    <row r="1" spans="2:10" ht="15.75" customHeight="1">
      <c r="B1" s="1"/>
      <c r="C1" s="2"/>
      <c r="D1" s="3"/>
      <c r="E1" s="3"/>
      <c r="F1" s="3"/>
      <c r="G1" s="4"/>
      <c r="H1" s="4"/>
      <c r="I1" s="3"/>
      <c r="J1" s="4"/>
    </row>
    <row r="2" spans="2:10" ht="15.75" customHeight="1">
      <c r="B2" s="5" t="s">
        <v>0</v>
      </c>
      <c r="C2" s="6" t="s">
        <v>1</v>
      </c>
      <c r="D2" s="7"/>
      <c r="E2" s="3"/>
      <c r="F2" s="3"/>
      <c r="G2" s="4"/>
      <c r="H2" s="4"/>
      <c r="I2" s="3"/>
      <c r="J2" s="4"/>
    </row>
    <row r="3" spans="2:10" ht="15.75" customHeight="1">
      <c r="B3" s="5" t="s">
        <v>2</v>
      </c>
      <c r="C3" s="6" t="s">
        <v>3</v>
      </c>
      <c r="D3" s="7"/>
      <c r="E3" s="3"/>
      <c r="F3" s="3"/>
      <c r="G3" s="4"/>
      <c r="H3" s="4"/>
      <c r="I3" s="3"/>
      <c r="J3" s="4"/>
    </row>
    <row r="4" spans="2:10" ht="15.75" customHeight="1">
      <c r="B4" s="5" t="s">
        <v>4</v>
      </c>
      <c r="C4" s="8" t="s">
        <v>5</v>
      </c>
      <c r="D4" s="7"/>
      <c r="E4" s="3"/>
      <c r="F4" s="3"/>
      <c r="G4" s="4"/>
      <c r="H4" s="4"/>
      <c r="I4" s="3"/>
      <c r="J4" s="4"/>
    </row>
    <row r="5" spans="2:10" ht="15.75" customHeight="1">
      <c r="B5" s="3"/>
      <c r="C5" s="9"/>
      <c r="D5" s="3"/>
      <c r="E5" s="10"/>
      <c r="F5" s="3"/>
      <c r="G5" s="4"/>
      <c r="H5" s="11"/>
      <c r="I5" s="3"/>
      <c r="J5" s="11"/>
    </row>
    <row r="6" spans="2:10" ht="15.75" customHeight="1">
      <c r="B6" s="12" t="s">
        <v>6</v>
      </c>
      <c r="C6" s="9"/>
      <c r="D6" s="13"/>
      <c r="E6" s="14" t="s">
        <v>7</v>
      </c>
      <c r="F6" s="3"/>
      <c r="G6" s="15">
        <v>627</v>
      </c>
      <c r="H6" s="16"/>
      <c r="I6" s="13"/>
      <c r="J6" s="15">
        <v>628</v>
      </c>
    </row>
    <row r="7" spans="2:10" ht="15.75" customHeight="1">
      <c r="B7" s="3"/>
      <c r="C7" s="9"/>
      <c r="D7" s="3"/>
      <c r="E7" s="3"/>
      <c r="F7" s="17"/>
      <c r="G7" s="18"/>
      <c r="H7" s="17"/>
      <c r="I7" s="17"/>
      <c r="J7" s="18" t="s">
        <v>8</v>
      </c>
    </row>
    <row r="8" spans="2:10" ht="15.75" customHeight="1">
      <c r="B8" s="3"/>
      <c r="C8" s="9"/>
      <c r="D8" s="3"/>
      <c r="E8" s="3"/>
      <c r="F8" s="17"/>
      <c r="G8" s="19" t="s">
        <v>9</v>
      </c>
      <c r="H8" s="19" t="s">
        <v>10</v>
      </c>
      <c r="I8" s="17"/>
      <c r="J8" s="19" t="s">
        <v>3</v>
      </c>
    </row>
    <row r="9" spans="2:10" ht="15.75" customHeight="1">
      <c r="B9" s="20"/>
      <c r="C9" s="21"/>
      <c r="D9" s="20"/>
      <c r="E9" s="20"/>
      <c r="F9" s="17"/>
      <c r="G9" s="22"/>
      <c r="H9" s="23" t="s">
        <v>11</v>
      </c>
      <c r="I9" s="17"/>
      <c r="J9" s="22"/>
    </row>
    <row r="10" spans="2:10" ht="15.75" customHeight="1">
      <c r="B10" s="24" t="s">
        <v>12</v>
      </c>
      <c r="C10" s="25" t="s">
        <v>13</v>
      </c>
      <c r="D10" s="3"/>
      <c r="E10" s="17"/>
      <c r="F10" s="17"/>
      <c r="G10" s="18"/>
      <c r="H10" s="18"/>
      <c r="I10" s="17"/>
      <c r="J10" s="18"/>
    </row>
    <row r="11" spans="2:10" ht="15.75" customHeight="1">
      <c r="B11" s="26"/>
      <c r="C11" s="27"/>
      <c r="D11" s="3"/>
      <c r="E11" s="28" t="s">
        <v>14</v>
      </c>
      <c r="F11" s="17"/>
      <c r="G11" s="29">
        <v>11057490</v>
      </c>
      <c r="H11" s="29" t="s">
        <v>15</v>
      </c>
      <c r="I11" s="17"/>
      <c r="J11" s="29">
        <f>'Monthly Summary'!F7</f>
        <v>14973572.324999999</v>
      </c>
    </row>
    <row r="12" spans="2:10" ht="15.75" customHeight="1">
      <c r="B12" s="26"/>
      <c r="C12" s="27"/>
      <c r="D12" s="3"/>
      <c r="E12" s="28" t="s">
        <v>16</v>
      </c>
      <c r="F12" s="17"/>
      <c r="G12" s="29">
        <v>155832</v>
      </c>
      <c r="H12" s="29" t="s">
        <v>15</v>
      </c>
      <c r="I12" s="17"/>
      <c r="J12" s="29">
        <f>SUM('Monthly Summary'!F10:F12)</f>
        <v>422436</v>
      </c>
    </row>
    <row r="13" spans="2:10" ht="15.75" customHeight="1">
      <c r="B13" s="30"/>
      <c r="C13" s="31">
        <v>1</v>
      </c>
      <c r="D13" s="32" t="s">
        <v>17</v>
      </c>
      <c r="E13" s="33"/>
      <c r="F13" s="17"/>
      <c r="G13" s="34">
        <v>11213322</v>
      </c>
      <c r="H13" s="34" t="s">
        <v>15</v>
      </c>
      <c r="I13" s="35"/>
      <c r="J13" s="36">
        <f>SUM(J11:J12)</f>
        <v>15396008.324999999</v>
      </c>
    </row>
    <row r="14" spans="2:10" ht="15.75" customHeight="1">
      <c r="B14" s="26"/>
      <c r="C14" s="27"/>
      <c r="D14" s="579"/>
      <c r="E14" s="28" t="s">
        <v>18</v>
      </c>
      <c r="F14" s="17"/>
      <c r="G14" s="29">
        <v>105000</v>
      </c>
      <c r="H14" s="18"/>
      <c r="I14" s="17"/>
      <c r="J14" s="29">
        <f>'Gather &amp; Grow'!F6</f>
        <v>170000</v>
      </c>
    </row>
    <row r="15" spans="2:10" ht="15.75" customHeight="1">
      <c r="B15" s="26"/>
      <c r="C15" s="27"/>
      <c r="D15" s="580"/>
      <c r="E15" s="28" t="s">
        <v>19</v>
      </c>
      <c r="F15" s="17"/>
      <c r="G15" s="18"/>
      <c r="H15" s="18"/>
      <c r="I15" s="17"/>
      <c r="J15" s="29">
        <f>'Gather &amp; Grow'!F7</f>
        <v>30000</v>
      </c>
    </row>
    <row r="16" spans="2:10" ht="15.75" customHeight="1">
      <c r="B16" s="30"/>
      <c r="C16" s="31">
        <v>1.1000000000000001</v>
      </c>
      <c r="D16" s="32" t="s">
        <v>20</v>
      </c>
      <c r="E16" s="33"/>
      <c r="F16" s="17"/>
      <c r="G16" s="34">
        <v>105000</v>
      </c>
      <c r="H16" s="34" t="s">
        <v>15</v>
      </c>
      <c r="I16" s="30"/>
      <c r="J16" s="36">
        <f>SUM(J14:J15)</f>
        <v>200000</v>
      </c>
    </row>
    <row r="17" spans="2:11" ht="15.75" customHeight="1">
      <c r="B17" s="26"/>
      <c r="C17" s="27"/>
      <c r="D17" s="579"/>
      <c r="E17" s="28" t="s">
        <v>21</v>
      </c>
      <c r="F17" s="17"/>
      <c r="G17" s="29" t="s">
        <v>15</v>
      </c>
      <c r="H17" s="18"/>
      <c r="I17" s="17"/>
      <c r="J17" s="29">
        <f>'Nutrition Program'!F6</f>
        <v>240000</v>
      </c>
    </row>
    <row r="18" spans="2:11" ht="15.75" customHeight="1">
      <c r="B18" s="26"/>
      <c r="C18" s="27"/>
      <c r="D18" s="580"/>
      <c r="E18" s="28" t="s">
        <v>22</v>
      </c>
      <c r="F18" s="17"/>
      <c r="G18" s="29">
        <v>10010</v>
      </c>
      <c r="H18" s="18"/>
      <c r="I18" s="17"/>
      <c r="J18" s="29">
        <f>'Monthly Summary'!F19</f>
        <v>19000</v>
      </c>
    </row>
    <row r="19" spans="2:11" ht="15.75" customHeight="1">
      <c r="B19" s="26"/>
      <c r="C19" s="27"/>
      <c r="D19" s="580"/>
      <c r="E19" s="37" t="s">
        <v>23</v>
      </c>
      <c r="F19" s="38"/>
      <c r="G19" s="29"/>
      <c r="H19" s="29"/>
      <c r="I19" s="17"/>
      <c r="J19" s="29">
        <f>'Monthly Summary'!F22</f>
        <v>9000</v>
      </c>
    </row>
    <row r="20" spans="2:11" ht="15.75" customHeight="1">
      <c r="B20" s="26"/>
      <c r="C20" s="27"/>
      <c r="D20" s="580"/>
      <c r="E20" s="39" t="s">
        <v>24</v>
      </c>
      <c r="F20" s="17"/>
      <c r="G20" s="29"/>
      <c r="H20" s="29"/>
      <c r="I20" s="17"/>
      <c r="J20" s="29">
        <f>'Monthly Summary'!F20</f>
        <v>200</v>
      </c>
    </row>
    <row r="21" spans="2:11" ht="15.75" customHeight="1">
      <c r="B21" s="26"/>
      <c r="C21" s="27"/>
      <c r="D21" s="580"/>
      <c r="E21" s="39" t="s">
        <v>25</v>
      </c>
      <c r="F21" s="17"/>
      <c r="G21" s="29"/>
      <c r="H21" s="29"/>
      <c r="I21" s="17"/>
      <c r="J21" s="29">
        <f>'Monthly Summary'!F21</f>
        <v>1000</v>
      </c>
    </row>
    <row r="22" spans="2:11" ht="15.75" customHeight="1">
      <c r="B22" s="26"/>
      <c r="C22" s="27"/>
      <c r="D22" s="580"/>
      <c r="E22" s="28" t="s">
        <v>26</v>
      </c>
      <c r="F22" s="17"/>
      <c r="G22" s="29"/>
      <c r="H22" s="29"/>
      <c r="I22" s="17"/>
      <c r="J22" s="29">
        <f>'Monthly Summary'!F23</f>
        <v>4000</v>
      </c>
    </row>
    <row r="23" spans="2:11" ht="15.75" customHeight="1">
      <c r="B23" s="26"/>
      <c r="C23" s="27"/>
      <c r="D23" s="580"/>
      <c r="E23" s="28" t="s">
        <v>27</v>
      </c>
      <c r="F23" s="17"/>
      <c r="G23" s="29" t="s">
        <v>15</v>
      </c>
      <c r="H23" s="29">
        <v>1000</v>
      </c>
      <c r="I23" s="17"/>
      <c r="J23" s="29">
        <f>'Elem Campus'!F6+'Middle Campus'!F6</f>
        <v>29000</v>
      </c>
    </row>
    <row r="24" spans="2:11" ht="15.75" customHeight="1">
      <c r="B24" s="26"/>
      <c r="C24" s="27"/>
      <c r="D24" s="580"/>
      <c r="E24" s="28" t="s">
        <v>28</v>
      </c>
      <c r="F24" s="17"/>
      <c r="G24" s="29" t="s">
        <v>15</v>
      </c>
      <c r="H24" s="29">
        <v>1000</v>
      </c>
      <c r="I24" s="17"/>
      <c r="J24" s="29">
        <f>'Elem Campus'!F7+'Middle Campus'!F7</f>
        <v>84800</v>
      </c>
    </row>
    <row r="25" spans="2:11" ht="15.75" customHeight="1">
      <c r="B25" s="26"/>
      <c r="C25" s="27"/>
      <c r="D25" s="580"/>
      <c r="E25" s="28" t="s">
        <v>29</v>
      </c>
      <c r="F25" s="17"/>
      <c r="G25" s="29" t="s">
        <v>15</v>
      </c>
      <c r="H25" s="29">
        <v>1000</v>
      </c>
      <c r="I25" s="17"/>
      <c r="J25" s="29">
        <f>'Monthly Summary'!F25</f>
        <v>20000</v>
      </c>
    </row>
    <row r="26" spans="2:11" ht="15.75" customHeight="1">
      <c r="B26" s="26"/>
      <c r="C26" s="27"/>
      <c r="D26" s="580"/>
      <c r="E26" s="28" t="s">
        <v>30</v>
      </c>
      <c r="F26" s="17"/>
      <c r="G26" s="40"/>
      <c r="H26" s="18"/>
      <c r="I26" s="17"/>
      <c r="J26" s="29">
        <f>'Monthly Summary'!F27</f>
        <v>102000</v>
      </c>
    </row>
    <row r="27" spans="2:11" ht="15.75" customHeight="1">
      <c r="B27" s="26"/>
      <c r="C27" s="27"/>
      <c r="D27" s="581"/>
      <c r="E27" s="41" t="s">
        <v>31</v>
      </c>
      <c r="F27" s="17"/>
      <c r="G27" s="42">
        <v>5000</v>
      </c>
      <c r="H27" s="43"/>
      <c r="I27" s="17"/>
      <c r="J27" s="29">
        <f>'Monthly Summary'!F18</f>
        <v>287500</v>
      </c>
    </row>
    <row r="28" spans="2:11" ht="15.75" customHeight="1">
      <c r="B28" s="44"/>
      <c r="C28" s="45">
        <v>1.2</v>
      </c>
      <c r="D28" s="46" t="s">
        <v>32</v>
      </c>
      <c r="E28" s="47"/>
      <c r="F28" s="17"/>
      <c r="G28" s="48">
        <v>15010</v>
      </c>
      <c r="H28" s="48">
        <v>3000</v>
      </c>
      <c r="I28" s="44"/>
      <c r="J28" s="49">
        <f>SUM(J17:J27)</f>
        <v>796500</v>
      </c>
      <c r="K28" s="599">
        <f>J28-J17</f>
        <v>556500</v>
      </c>
    </row>
    <row r="29" spans="2:11" ht="15.75" customHeight="1">
      <c r="B29" s="26"/>
      <c r="C29" s="27"/>
      <c r="D29" s="582" t="s">
        <v>33</v>
      </c>
      <c r="E29" s="28" t="s">
        <v>34</v>
      </c>
      <c r="F29" s="17"/>
      <c r="G29" s="29">
        <v>9130</v>
      </c>
      <c r="H29" s="18"/>
      <c r="I29" s="17"/>
      <c r="J29" s="29">
        <f>'Monthly Summary'!F29</f>
        <v>20000</v>
      </c>
    </row>
    <row r="30" spans="2:11" ht="15.75" customHeight="1">
      <c r="B30" s="26"/>
      <c r="C30" s="27"/>
      <c r="D30" s="581"/>
      <c r="E30" s="41" t="s">
        <v>35</v>
      </c>
      <c r="F30" s="17"/>
      <c r="G30" s="42">
        <v>3641</v>
      </c>
      <c r="H30" s="43"/>
      <c r="I30" s="17"/>
      <c r="J30" s="42">
        <f>'Monthly Summary'!F28</f>
        <v>25000</v>
      </c>
    </row>
    <row r="31" spans="2:11" ht="15.75" customHeight="1">
      <c r="B31" s="50"/>
      <c r="C31" s="51">
        <v>1.3</v>
      </c>
      <c r="D31" s="46" t="s">
        <v>36</v>
      </c>
      <c r="E31" s="47"/>
      <c r="F31" s="17"/>
      <c r="G31" s="48">
        <v>12771</v>
      </c>
      <c r="H31" s="48" t="s">
        <v>15</v>
      </c>
      <c r="I31" s="52"/>
      <c r="J31" s="48">
        <f>SUM(J29:J30)</f>
        <v>45000</v>
      </c>
    </row>
    <row r="32" spans="2:11" ht="15.75" customHeight="1">
      <c r="B32" s="53"/>
      <c r="C32" s="54"/>
      <c r="D32" s="55" t="s">
        <v>37</v>
      </c>
      <c r="E32" s="56"/>
      <c r="F32" s="17"/>
      <c r="G32" s="57">
        <v>11346103</v>
      </c>
      <c r="H32" s="57">
        <v>3000</v>
      </c>
      <c r="I32" s="58"/>
      <c r="J32" s="57">
        <f>J13+J16+J28+J31</f>
        <v>16437508.324999999</v>
      </c>
    </row>
    <row r="33" spans="2:10" ht="15.75" customHeight="1">
      <c r="B33" s="3"/>
      <c r="C33" s="9"/>
      <c r="D33" s="3"/>
      <c r="E33" s="3"/>
      <c r="F33" s="3"/>
      <c r="G33" s="4"/>
      <c r="H33" s="4"/>
      <c r="I33" s="3"/>
      <c r="J33" s="4"/>
    </row>
    <row r="34" spans="2:10" ht="15.75" customHeight="1">
      <c r="B34" s="20"/>
      <c r="C34" s="21"/>
      <c r="D34" s="3"/>
      <c r="E34" s="59"/>
      <c r="F34" s="3"/>
      <c r="G34" s="4"/>
      <c r="H34" s="4"/>
      <c r="I34" s="3"/>
      <c r="J34" s="60"/>
    </row>
    <row r="35" spans="2:10" ht="15.75" customHeight="1">
      <c r="B35" s="61" t="s">
        <v>38</v>
      </c>
      <c r="C35" s="62"/>
      <c r="D35" s="583" t="s">
        <v>39</v>
      </c>
      <c r="E35" s="63" t="s">
        <v>40</v>
      </c>
      <c r="F35" s="3"/>
      <c r="G35" s="64">
        <v>10143984</v>
      </c>
      <c r="H35" s="64">
        <v>200000</v>
      </c>
      <c r="I35" s="3"/>
      <c r="J35" s="65">
        <f>SUM('Monthly Summary'!F34:F36)</f>
        <v>10046602</v>
      </c>
    </row>
    <row r="36" spans="2:10" ht="15.75" customHeight="1">
      <c r="B36" s="61"/>
      <c r="C36" s="62"/>
      <c r="D36" s="580"/>
      <c r="E36" s="66" t="s">
        <v>41</v>
      </c>
      <c r="F36" s="3"/>
      <c r="G36" s="67"/>
      <c r="H36" s="4"/>
      <c r="I36" s="3"/>
      <c r="J36" s="68">
        <f>SUM('Monthly Summary'!F48:F51)</f>
        <v>3838821.2680000002</v>
      </c>
    </row>
    <row r="37" spans="2:10" ht="15.75" customHeight="1">
      <c r="B37" s="61"/>
      <c r="C37" s="62"/>
      <c r="D37" s="580"/>
      <c r="E37" s="66" t="s">
        <v>42</v>
      </c>
      <c r="F37" s="3"/>
      <c r="G37" s="67">
        <v>20000</v>
      </c>
      <c r="H37" s="4"/>
      <c r="I37" s="3"/>
      <c r="J37" s="65">
        <f>'Monthly Summary'!F47</f>
        <v>40200</v>
      </c>
    </row>
    <row r="38" spans="2:10" ht="15.75" customHeight="1">
      <c r="B38" s="69"/>
      <c r="C38" s="70">
        <v>2</v>
      </c>
      <c r="D38" s="584" t="s">
        <v>43</v>
      </c>
      <c r="E38" s="585"/>
      <c r="F38" s="71"/>
      <c r="G38" s="72">
        <v>10163984</v>
      </c>
      <c r="H38" s="73"/>
      <c r="I38" s="69"/>
      <c r="J38" s="74">
        <f>SUM(J35:J37)</f>
        <v>13925623.267999999</v>
      </c>
    </row>
    <row r="39" spans="2:10" ht="15.75" customHeight="1">
      <c r="B39" s="69"/>
      <c r="C39" s="62"/>
      <c r="D39" s="75" t="s">
        <v>44</v>
      </c>
      <c r="E39" s="66" t="s">
        <v>45</v>
      </c>
      <c r="F39" s="3"/>
      <c r="G39" s="18"/>
      <c r="H39" s="4"/>
      <c r="I39" s="3"/>
      <c r="J39" s="65">
        <f>'Monthly Summary'!F52</f>
        <v>114720</v>
      </c>
    </row>
    <row r="40" spans="2:10" ht="15.75" customHeight="1">
      <c r="B40" s="69"/>
      <c r="C40" s="70">
        <v>2.1</v>
      </c>
      <c r="D40" s="584" t="s">
        <v>46</v>
      </c>
      <c r="E40" s="585"/>
      <c r="F40" s="18"/>
      <c r="G40" s="76" t="e">
        <v>#REF!</v>
      </c>
      <c r="H40" s="76" t="e">
        <v>#REF!</v>
      </c>
      <c r="I40" s="69"/>
      <c r="J40" s="74">
        <f>J39</f>
        <v>114720</v>
      </c>
    </row>
    <row r="41" spans="2:10" ht="15.75" customHeight="1">
      <c r="B41" s="69"/>
      <c r="C41" s="62"/>
      <c r="D41" s="586" t="s">
        <v>47</v>
      </c>
      <c r="E41" s="66" t="s">
        <v>48</v>
      </c>
      <c r="F41" s="3"/>
      <c r="G41" s="29">
        <v>10000</v>
      </c>
      <c r="H41" s="18"/>
      <c r="I41" s="3"/>
      <c r="J41" s="77">
        <f>'Monthly Summary'!F87</f>
        <v>23000</v>
      </c>
    </row>
    <row r="42" spans="2:10" ht="15.75" customHeight="1">
      <c r="B42" s="69"/>
      <c r="C42" s="62"/>
      <c r="D42" s="580"/>
      <c r="E42" s="66" t="s">
        <v>29</v>
      </c>
      <c r="F42" s="17"/>
      <c r="G42" s="29" t="s">
        <v>15</v>
      </c>
      <c r="H42" s="29">
        <v>3000</v>
      </c>
      <c r="I42" s="78"/>
      <c r="J42" s="77">
        <f>'Monthly Summary'!F91</f>
        <v>40000</v>
      </c>
    </row>
    <row r="43" spans="2:10" ht="15.75" customHeight="1">
      <c r="B43" s="69"/>
      <c r="C43" s="62"/>
      <c r="D43" s="580"/>
      <c r="E43" s="66" t="s">
        <v>49</v>
      </c>
      <c r="F43" s="17"/>
      <c r="G43" s="29"/>
      <c r="H43" s="29"/>
      <c r="I43" s="78"/>
      <c r="J43" s="77">
        <f>'Monthly Summary'!F93</f>
        <v>33000</v>
      </c>
    </row>
    <row r="44" spans="2:10" ht="15.75" customHeight="1">
      <c r="B44" s="69"/>
      <c r="C44" s="62"/>
      <c r="D44" s="580"/>
      <c r="E44" s="66" t="s">
        <v>50</v>
      </c>
      <c r="F44" s="17"/>
      <c r="G44" s="29" t="s">
        <v>15</v>
      </c>
      <c r="H44" s="29">
        <v>1500</v>
      </c>
      <c r="I44" s="78"/>
      <c r="J44" s="77">
        <f>'Monthly Summary'!F88+'Monthly Summary'!F89+'Monthly Summary'!F90</f>
        <v>126000</v>
      </c>
    </row>
    <row r="45" spans="2:10" ht="15.75" customHeight="1">
      <c r="B45" s="69"/>
      <c r="C45" s="62"/>
      <c r="D45" s="580"/>
      <c r="E45" s="66" t="s">
        <v>30</v>
      </c>
      <c r="F45" s="17"/>
      <c r="G45" s="18"/>
      <c r="H45" s="18"/>
      <c r="I45" s="78"/>
      <c r="J45" s="77">
        <f>'Monthly Summary'!F92</f>
        <v>63100</v>
      </c>
    </row>
    <row r="46" spans="2:10" ht="15.75" customHeight="1">
      <c r="B46" s="69"/>
      <c r="C46" s="62"/>
      <c r="D46" s="580"/>
      <c r="E46" s="66" t="s">
        <v>51</v>
      </c>
      <c r="F46" s="17"/>
      <c r="G46" s="29">
        <v>119000</v>
      </c>
      <c r="H46" s="18"/>
      <c r="I46" s="78"/>
      <c r="J46" s="77">
        <f>'Monthly Summary'!F95</f>
        <v>320000</v>
      </c>
    </row>
    <row r="47" spans="2:10" ht="15.75" customHeight="1">
      <c r="B47" s="69"/>
      <c r="C47" s="62"/>
      <c r="D47" s="580"/>
      <c r="E47" s="66" t="s">
        <v>52</v>
      </c>
      <c r="F47" s="17"/>
      <c r="G47" s="29" t="s">
        <v>15</v>
      </c>
      <c r="H47" s="29">
        <v>1000</v>
      </c>
      <c r="I47" s="78"/>
      <c r="J47" s="77">
        <f>'Monthly Summary'!F94</f>
        <v>15000</v>
      </c>
    </row>
    <row r="48" spans="2:10" ht="15.75" customHeight="1">
      <c r="B48" s="69"/>
      <c r="C48" s="62"/>
      <c r="D48" s="580"/>
      <c r="E48" s="79" t="s">
        <v>53</v>
      </c>
      <c r="F48" s="17"/>
      <c r="G48" s="80">
        <v>139000</v>
      </c>
      <c r="H48" s="81">
        <v>7000</v>
      </c>
      <c r="I48" s="82"/>
      <c r="J48" s="83">
        <f>SUM(J41:J47)</f>
        <v>620100</v>
      </c>
    </row>
    <row r="49" spans="2:10" ht="15.75" customHeight="1">
      <c r="B49" s="69"/>
      <c r="C49" s="62"/>
      <c r="D49" s="590" t="s">
        <v>54</v>
      </c>
      <c r="E49" s="66" t="s">
        <v>55</v>
      </c>
      <c r="F49" s="17"/>
      <c r="G49" s="29">
        <v>571888</v>
      </c>
      <c r="H49" s="43"/>
      <c r="I49" s="78"/>
      <c r="J49" s="77">
        <f>'Monthly Summary'!F56+'Monthly Summary'!F54</f>
        <v>142700</v>
      </c>
    </row>
    <row r="50" spans="2:10" ht="15.75" customHeight="1">
      <c r="B50" s="69"/>
      <c r="C50" s="62"/>
      <c r="D50" s="580"/>
      <c r="E50" s="66" t="s">
        <v>56</v>
      </c>
      <c r="F50" s="17"/>
      <c r="G50" s="42">
        <v>70000</v>
      </c>
      <c r="H50" s="43"/>
      <c r="I50" s="78"/>
      <c r="J50" s="77">
        <f>'Monthly Summary'!F55</f>
        <v>60400</v>
      </c>
    </row>
    <row r="51" spans="2:10" ht="15.75" customHeight="1">
      <c r="B51" s="69"/>
      <c r="C51" s="62"/>
      <c r="D51" s="580"/>
      <c r="E51" s="84" t="s">
        <v>57</v>
      </c>
      <c r="F51" s="17"/>
      <c r="G51" s="85" t="s">
        <v>15</v>
      </c>
      <c r="H51" s="85" t="s">
        <v>15</v>
      </c>
      <c r="I51" s="86"/>
      <c r="J51" s="87">
        <f>SUM(J49:J50)</f>
        <v>203100</v>
      </c>
    </row>
    <row r="52" spans="2:10" ht="15.75" customHeight="1">
      <c r="B52" s="69"/>
      <c r="C52" s="70">
        <v>2.2000000000000002</v>
      </c>
      <c r="D52" s="584" t="s">
        <v>58</v>
      </c>
      <c r="E52" s="585"/>
      <c r="F52" s="17"/>
      <c r="G52" s="72">
        <v>139000</v>
      </c>
      <c r="H52" s="88">
        <v>7000</v>
      </c>
      <c r="I52" s="69"/>
      <c r="J52" s="74">
        <f>J48+J51</f>
        <v>823200</v>
      </c>
    </row>
    <row r="53" spans="2:10" ht="15.75" customHeight="1">
      <c r="B53" s="69"/>
      <c r="C53" s="62"/>
      <c r="D53" s="591" t="s">
        <v>59</v>
      </c>
      <c r="E53" s="66" t="s">
        <v>60</v>
      </c>
      <c r="F53" s="17"/>
      <c r="G53" s="18"/>
      <c r="H53" s="89"/>
      <c r="I53" s="78"/>
      <c r="J53" s="65">
        <f>'Monthly Summary'!F105</f>
        <v>185556</v>
      </c>
    </row>
    <row r="54" spans="2:10" ht="15.75" customHeight="1">
      <c r="B54" s="69"/>
      <c r="C54" s="62"/>
      <c r="D54" s="580"/>
      <c r="E54" s="66" t="s">
        <v>61</v>
      </c>
      <c r="F54" s="17"/>
      <c r="G54" s="29">
        <v>5000</v>
      </c>
      <c r="H54" s="90" t="s">
        <v>5</v>
      </c>
      <c r="I54" s="78"/>
      <c r="J54" s="65">
        <f>'Monthly Summary'!F102</f>
        <v>4884</v>
      </c>
    </row>
    <row r="55" spans="2:10" ht="15.75" customHeight="1">
      <c r="B55" s="69"/>
      <c r="C55" s="62"/>
      <c r="D55" s="580"/>
      <c r="E55" s="66" t="s">
        <v>62</v>
      </c>
      <c r="F55" s="17"/>
      <c r="G55" s="29">
        <v>87643</v>
      </c>
      <c r="H55" s="90">
        <v>7000</v>
      </c>
      <c r="I55" s="78"/>
      <c r="J55" s="65">
        <f>'Monthly Summary'!F104</f>
        <v>130000</v>
      </c>
    </row>
    <row r="56" spans="2:10" ht="15.75" customHeight="1">
      <c r="B56" s="69"/>
      <c r="C56" s="62"/>
      <c r="D56" s="580"/>
      <c r="E56" s="66" t="s">
        <v>63</v>
      </c>
      <c r="F56" s="17"/>
      <c r="G56" s="29">
        <v>13500</v>
      </c>
      <c r="H56" s="90">
        <v>10000</v>
      </c>
      <c r="I56" s="78"/>
      <c r="J56" s="65">
        <f>'Monthly Summary'!F103</f>
        <v>25000</v>
      </c>
    </row>
    <row r="57" spans="2:10" ht="15.75" customHeight="1">
      <c r="B57" s="69"/>
      <c r="C57" s="62"/>
      <c r="D57" s="580"/>
      <c r="E57" s="66" t="s">
        <v>64</v>
      </c>
      <c r="F57" s="91"/>
      <c r="G57" s="29">
        <v>36627</v>
      </c>
      <c r="H57" s="92">
        <v>7000</v>
      </c>
      <c r="I57" s="78"/>
      <c r="J57" s="65">
        <f>'Monthly Summary'!F123</f>
        <v>32000</v>
      </c>
    </row>
    <row r="58" spans="2:10" ht="15.75" customHeight="1">
      <c r="B58" s="69"/>
      <c r="C58" s="62"/>
      <c r="D58" s="580"/>
      <c r="E58" s="66" t="s">
        <v>65</v>
      </c>
      <c r="F58" s="91"/>
      <c r="G58" s="29">
        <v>105264</v>
      </c>
      <c r="H58" s="18"/>
      <c r="I58" s="78"/>
      <c r="J58" s="65">
        <f>'Monthly Summary'!F101</f>
        <v>92052</v>
      </c>
    </row>
    <row r="59" spans="2:10" ht="15.75" customHeight="1">
      <c r="B59" s="69"/>
      <c r="C59" s="62"/>
      <c r="D59" s="580"/>
      <c r="E59" s="66" t="s">
        <v>66</v>
      </c>
      <c r="F59" s="91"/>
      <c r="G59" s="29">
        <v>7332</v>
      </c>
      <c r="H59" s="18"/>
      <c r="I59" s="78"/>
      <c r="J59" s="65">
        <f>'Monthly Summary'!F100</f>
        <v>18924</v>
      </c>
    </row>
    <row r="60" spans="2:10" ht="15.75" customHeight="1">
      <c r="B60" s="69"/>
      <c r="C60" s="62"/>
      <c r="D60" s="580"/>
      <c r="E60" s="66" t="s">
        <v>67</v>
      </c>
      <c r="F60" s="17"/>
      <c r="G60" s="29"/>
      <c r="H60" s="18"/>
      <c r="I60" s="78"/>
      <c r="J60" s="65">
        <f>'Monthly Summary'!F110</f>
        <v>5000</v>
      </c>
    </row>
    <row r="61" spans="2:10" ht="15.75" customHeight="1">
      <c r="B61" s="69"/>
      <c r="C61" s="62"/>
      <c r="D61" s="580"/>
      <c r="E61" s="66" t="s">
        <v>68</v>
      </c>
      <c r="F61" s="17"/>
      <c r="G61" s="29"/>
      <c r="H61" s="18"/>
      <c r="I61" s="78"/>
      <c r="J61" s="65">
        <f>'Monthly Summary'!F111</f>
        <v>40400</v>
      </c>
    </row>
    <row r="62" spans="2:10" ht="15.75" customHeight="1">
      <c r="B62" s="69"/>
      <c r="C62" s="62"/>
      <c r="D62" s="580"/>
      <c r="E62" s="66" t="s">
        <v>69</v>
      </c>
      <c r="F62" s="17"/>
      <c r="G62" s="29"/>
      <c r="H62" s="18"/>
      <c r="I62" s="78"/>
      <c r="J62" s="65">
        <f>'Monthly Summary'!F112</f>
        <v>0</v>
      </c>
    </row>
    <row r="63" spans="2:10" ht="15.75" customHeight="1">
      <c r="B63" s="69"/>
      <c r="C63" s="62"/>
      <c r="D63" s="580"/>
      <c r="E63" s="66" t="s">
        <v>70</v>
      </c>
      <c r="F63" s="17"/>
      <c r="G63" s="29">
        <v>110000</v>
      </c>
      <c r="H63" s="18"/>
      <c r="I63" s="3"/>
      <c r="J63" s="65">
        <f>'Monthly Summary'!F113-J57</f>
        <v>258940</v>
      </c>
    </row>
    <row r="64" spans="2:10" ht="12" customHeight="1">
      <c r="B64" s="69"/>
      <c r="C64" s="62"/>
      <c r="D64" s="580"/>
      <c r="E64" s="93" t="s">
        <v>71</v>
      </c>
      <c r="F64" s="17"/>
      <c r="G64" s="94"/>
      <c r="H64" s="94"/>
      <c r="I64" s="95"/>
      <c r="J64" s="96">
        <f>SUM(J53:J63)</f>
        <v>792756</v>
      </c>
    </row>
    <row r="65" spans="2:10" ht="15.75" customHeight="1">
      <c r="B65" s="69"/>
      <c r="C65" s="62"/>
      <c r="D65" s="592" t="s">
        <v>72</v>
      </c>
      <c r="E65" s="66" t="s">
        <v>73</v>
      </c>
      <c r="F65" s="17"/>
      <c r="G65" s="29">
        <v>5600</v>
      </c>
      <c r="H65" s="18"/>
      <c r="I65" s="78"/>
      <c r="J65" s="65">
        <f>'Monthly Summary'!F126</f>
        <v>12000</v>
      </c>
    </row>
    <row r="66" spans="2:10" ht="15.75" customHeight="1">
      <c r="B66" s="69"/>
      <c r="C66" s="62"/>
      <c r="D66" s="580"/>
      <c r="E66" s="66" t="s">
        <v>70</v>
      </c>
      <c r="F66" s="17"/>
      <c r="G66" s="42">
        <v>17500</v>
      </c>
      <c r="H66" s="97">
        <v>10000</v>
      </c>
      <c r="I66" s="78"/>
      <c r="J66" s="65">
        <f>'Monthly Summary'!F127</f>
        <v>2000</v>
      </c>
    </row>
    <row r="67" spans="2:10" ht="15.75" customHeight="1">
      <c r="B67" s="69"/>
      <c r="C67" s="62"/>
      <c r="D67" s="580"/>
      <c r="E67" s="98" t="s">
        <v>74</v>
      </c>
      <c r="F67" s="3"/>
      <c r="G67" s="99"/>
      <c r="H67" s="99"/>
      <c r="I67" s="100"/>
      <c r="J67" s="101">
        <f>SUM(J65:J66)</f>
        <v>14000</v>
      </c>
    </row>
    <row r="68" spans="2:10" ht="15.75" customHeight="1">
      <c r="B68" s="69"/>
      <c r="C68" s="70">
        <v>2.2999999999999998</v>
      </c>
      <c r="D68" s="584" t="s">
        <v>75</v>
      </c>
      <c r="E68" s="585"/>
      <c r="F68" s="17"/>
      <c r="G68" s="76" t="e">
        <v>#REF!</v>
      </c>
      <c r="H68" s="76" t="e">
        <v>#REF!</v>
      </c>
      <c r="I68" s="102"/>
      <c r="J68" s="74">
        <f>J64+J67</f>
        <v>806756</v>
      </c>
    </row>
    <row r="69" spans="2:10" ht="15.75" customHeight="1">
      <c r="B69" s="69"/>
      <c r="C69" s="62"/>
      <c r="D69" s="587" t="s">
        <v>76</v>
      </c>
      <c r="E69" s="66" t="s">
        <v>77</v>
      </c>
      <c r="F69" s="17"/>
      <c r="G69" s="29">
        <v>1500</v>
      </c>
      <c r="H69" s="18"/>
      <c r="I69" s="78"/>
      <c r="J69" s="65">
        <f>'Monthly Summary'!F131</f>
        <v>12000</v>
      </c>
    </row>
    <row r="70" spans="2:10" ht="15.75" customHeight="1">
      <c r="B70" s="69"/>
      <c r="C70" s="62"/>
      <c r="D70" s="580"/>
      <c r="E70" s="66" t="s">
        <v>78</v>
      </c>
      <c r="F70" s="17"/>
      <c r="G70" s="29">
        <v>68000</v>
      </c>
      <c r="H70" s="18"/>
      <c r="I70" s="78"/>
      <c r="J70" s="65">
        <f>'Monthly Summary'!F129</f>
        <v>1000</v>
      </c>
    </row>
    <row r="71" spans="2:10" ht="15.75" customHeight="1">
      <c r="B71" s="69"/>
      <c r="C71" s="62"/>
      <c r="D71" s="580"/>
      <c r="E71" s="66" t="s">
        <v>79</v>
      </c>
      <c r="F71" s="17"/>
      <c r="G71" s="42" t="s">
        <v>15</v>
      </c>
      <c r="H71" s="43"/>
      <c r="I71" s="78"/>
      <c r="J71" s="65">
        <f>'Monthly Summary'!F130</f>
        <v>50000</v>
      </c>
    </row>
    <row r="72" spans="2:10" ht="15" customHeight="1">
      <c r="B72" s="69"/>
      <c r="C72" s="70"/>
      <c r="D72" s="580"/>
      <c r="E72" s="103" t="s">
        <v>80</v>
      </c>
      <c r="F72" s="104"/>
      <c r="G72" s="97"/>
      <c r="H72" s="97"/>
      <c r="I72" s="3"/>
      <c r="J72" s="65">
        <f>'Monthly Summary'!F132</f>
        <v>0</v>
      </c>
    </row>
    <row r="73" spans="2:10" ht="14.25" customHeight="1">
      <c r="B73" s="69"/>
      <c r="C73" s="70"/>
      <c r="D73" s="580"/>
      <c r="E73" s="103" t="s">
        <v>81</v>
      </c>
      <c r="F73" s="105"/>
      <c r="G73" s="97"/>
      <c r="H73" s="97"/>
      <c r="I73" s="3"/>
      <c r="J73" s="65">
        <f>'Monthly Summary'!F133</f>
        <v>30000</v>
      </c>
    </row>
    <row r="74" spans="2:10" ht="15.75" customHeight="1">
      <c r="B74" s="69"/>
      <c r="C74" s="70">
        <v>2.4</v>
      </c>
      <c r="D74" s="584" t="s">
        <v>82</v>
      </c>
      <c r="E74" s="585"/>
      <c r="F74" s="17"/>
      <c r="G74" s="72">
        <v>69500</v>
      </c>
      <c r="H74" s="72" t="s">
        <v>15</v>
      </c>
      <c r="I74" s="69"/>
      <c r="J74" s="74">
        <f>SUM(J69:J73)</f>
        <v>93000</v>
      </c>
    </row>
    <row r="75" spans="2:10" ht="15.75" customHeight="1">
      <c r="B75" s="69"/>
      <c r="C75" s="62"/>
      <c r="D75" s="587" t="s">
        <v>83</v>
      </c>
      <c r="E75" s="66" t="s">
        <v>84</v>
      </c>
      <c r="F75" s="17"/>
      <c r="G75" s="29"/>
      <c r="H75" s="40"/>
      <c r="I75" s="78"/>
      <c r="J75" s="65">
        <f>'Monthly Summary'!F136</f>
        <v>10000</v>
      </c>
    </row>
    <row r="76" spans="2:10" ht="15.75" customHeight="1">
      <c r="B76" s="69"/>
      <c r="C76" s="62"/>
      <c r="D76" s="580"/>
      <c r="E76" s="66" t="s">
        <v>85</v>
      </c>
      <c r="F76" s="17"/>
      <c r="G76" s="29"/>
      <c r="H76" s="40"/>
      <c r="I76" s="78"/>
      <c r="J76" s="65">
        <f>'Monthly Summary'!F135+'Monthly Summary'!F137+'Monthly Summary'!F146+'Monthly Summary'!F157</f>
        <v>23300</v>
      </c>
    </row>
    <row r="77" spans="2:10" ht="15.75" customHeight="1">
      <c r="B77" s="69"/>
      <c r="C77" s="62"/>
      <c r="D77" s="580"/>
      <c r="E77" s="66" t="s">
        <v>86</v>
      </c>
      <c r="F77" s="17"/>
      <c r="G77" s="29">
        <v>36000</v>
      </c>
      <c r="H77" s="40"/>
      <c r="I77" s="78"/>
      <c r="J77" s="65">
        <f>'Monthly Summary'!F138</f>
        <v>81400</v>
      </c>
    </row>
    <row r="78" spans="2:10" ht="15.75" customHeight="1">
      <c r="B78" s="69"/>
      <c r="C78" s="62"/>
      <c r="D78" s="580"/>
      <c r="E78" s="66" t="s">
        <v>87</v>
      </c>
      <c r="F78" s="17"/>
      <c r="G78" s="29">
        <v>2000</v>
      </c>
      <c r="H78" s="40"/>
      <c r="I78" s="78"/>
      <c r="J78" s="65">
        <f>'Monthly Summary'!F140</f>
        <v>4500</v>
      </c>
    </row>
    <row r="79" spans="2:10" ht="15.75" customHeight="1">
      <c r="B79" s="69"/>
      <c r="C79" s="62"/>
      <c r="D79" s="580"/>
      <c r="E79" s="66" t="s">
        <v>88</v>
      </c>
      <c r="F79" s="17"/>
      <c r="G79" s="29">
        <v>150000</v>
      </c>
      <c r="H79" s="40"/>
      <c r="I79" s="78"/>
      <c r="J79" s="65">
        <f>'Monthly Summary'!F141</f>
        <v>100000</v>
      </c>
    </row>
    <row r="80" spans="2:10" ht="15.75" customHeight="1">
      <c r="B80" s="69"/>
      <c r="C80" s="62"/>
      <c r="D80" s="580"/>
      <c r="E80" s="66" t="s">
        <v>89</v>
      </c>
      <c r="F80" s="17"/>
      <c r="G80" s="29">
        <v>2000</v>
      </c>
      <c r="H80" s="40"/>
      <c r="I80" s="78"/>
      <c r="J80" s="65">
        <f>'Monthly Summary'!F142</f>
        <v>6000</v>
      </c>
    </row>
    <row r="81" spans="2:10" ht="15.75" customHeight="1">
      <c r="B81" s="69"/>
      <c r="C81" s="62"/>
      <c r="D81" s="580"/>
      <c r="E81" s="63" t="s">
        <v>90</v>
      </c>
      <c r="F81" s="17"/>
      <c r="G81" s="18"/>
      <c r="H81" s="18"/>
      <c r="I81" s="78"/>
      <c r="J81" s="65">
        <f>'Monthly Summary'!F143</f>
        <v>12000</v>
      </c>
    </row>
    <row r="82" spans="2:10" ht="15.75" customHeight="1">
      <c r="B82" s="69"/>
      <c r="C82" s="62"/>
      <c r="D82" s="580"/>
      <c r="E82" s="63" t="s">
        <v>91</v>
      </c>
      <c r="F82" s="17"/>
      <c r="G82" s="18"/>
      <c r="H82" s="18"/>
      <c r="I82" s="78"/>
      <c r="J82" s="65">
        <f>'Monthly Summary'!F145</f>
        <v>3000</v>
      </c>
    </row>
    <row r="83" spans="2:10" ht="15.75" customHeight="1">
      <c r="B83" s="69"/>
      <c r="C83" s="62"/>
      <c r="D83" s="580"/>
      <c r="E83" s="66" t="s">
        <v>92</v>
      </c>
      <c r="F83" s="17"/>
      <c r="G83" s="29">
        <v>80000</v>
      </c>
      <c r="H83" s="40"/>
      <c r="I83" s="78"/>
      <c r="J83" s="65">
        <f>'Monthly Summary'!F158</f>
        <v>49000</v>
      </c>
    </row>
    <row r="84" spans="2:10" ht="15.75" customHeight="1">
      <c r="B84" s="69"/>
      <c r="C84" s="62"/>
      <c r="D84" s="580"/>
      <c r="E84" s="37" t="s">
        <v>93</v>
      </c>
      <c r="F84" s="106"/>
      <c r="G84" s="18"/>
      <c r="H84" s="18"/>
      <c r="I84" s="78"/>
      <c r="J84" s="65">
        <f>'Monthly Summary'!F148</f>
        <v>5000</v>
      </c>
    </row>
    <row r="85" spans="2:10" ht="15.75" customHeight="1">
      <c r="B85" s="69"/>
      <c r="C85" s="62"/>
      <c r="D85" s="580"/>
      <c r="E85" s="107" t="s">
        <v>94</v>
      </c>
      <c r="F85" s="106"/>
      <c r="G85" s="29">
        <v>60000</v>
      </c>
      <c r="H85" s="40"/>
      <c r="I85" s="78"/>
      <c r="J85" s="65">
        <f>'Monthly Summary'!F149</f>
        <v>65000</v>
      </c>
    </row>
    <row r="86" spans="2:10" ht="15.75" customHeight="1">
      <c r="B86" s="69"/>
      <c r="C86" s="62"/>
      <c r="D86" s="580"/>
      <c r="E86" s="107" t="s">
        <v>95</v>
      </c>
      <c r="F86" s="106"/>
      <c r="G86" s="29">
        <v>3000</v>
      </c>
      <c r="H86" s="40"/>
      <c r="I86" s="78"/>
      <c r="J86" s="65">
        <f>'Monthly Summary'!F150</f>
        <v>2500</v>
      </c>
    </row>
    <row r="87" spans="2:10" ht="15.75" customHeight="1">
      <c r="B87" s="69"/>
      <c r="C87" s="62"/>
      <c r="D87" s="580"/>
      <c r="E87" s="108" t="s">
        <v>96</v>
      </c>
      <c r="F87" s="17"/>
      <c r="G87" s="18"/>
      <c r="H87" s="18"/>
      <c r="I87" s="78"/>
      <c r="J87" s="65">
        <f>'Monthly Summary'!F152</f>
        <v>3000</v>
      </c>
    </row>
    <row r="88" spans="2:10" ht="15.75" customHeight="1">
      <c r="B88" s="69"/>
      <c r="C88" s="62"/>
      <c r="D88" s="580"/>
      <c r="E88" s="108" t="s">
        <v>97</v>
      </c>
      <c r="F88" s="17"/>
      <c r="G88" s="18"/>
      <c r="H88" s="18"/>
      <c r="I88" s="78"/>
      <c r="J88" s="65">
        <f>'Monthly Summary'!F151</f>
        <v>14000</v>
      </c>
    </row>
    <row r="89" spans="2:10" ht="15.75" customHeight="1">
      <c r="B89" s="69"/>
      <c r="C89" s="62"/>
      <c r="D89" s="580"/>
      <c r="E89" s="108" t="s">
        <v>98</v>
      </c>
      <c r="F89" s="17"/>
      <c r="G89" s="18"/>
      <c r="H89" s="18"/>
      <c r="I89" s="78"/>
      <c r="J89" s="65">
        <f>'Monthly Summary'!F153</f>
        <v>2500</v>
      </c>
    </row>
    <row r="90" spans="2:10" ht="15.75" customHeight="1">
      <c r="B90" s="69"/>
      <c r="C90" s="62"/>
      <c r="D90" s="580"/>
      <c r="E90" s="63" t="s">
        <v>99</v>
      </c>
      <c r="F90" s="17"/>
      <c r="G90" s="18"/>
      <c r="H90" s="18"/>
      <c r="I90" s="78"/>
      <c r="J90" s="65">
        <f>'Monthly Summary'!F154</f>
        <v>20000</v>
      </c>
    </row>
    <row r="91" spans="2:10" ht="15.75" customHeight="1">
      <c r="B91" s="69"/>
      <c r="C91" s="62"/>
      <c r="D91" s="580"/>
      <c r="E91" s="63" t="s">
        <v>100</v>
      </c>
      <c r="F91" s="17"/>
      <c r="G91" s="18"/>
      <c r="H91" s="18"/>
      <c r="I91" s="78"/>
      <c r="J91" s="65">
        <f>'Monthly Summary'!F139+'Monthly Summary'!F155+'Monthly Summary'!F156</f>
        <v>39500</v>
      </c>
    </row>
    <row r="92" spans="2:10" ht="15.75" customHeight="1">
      <c r="B92" s="69"/>
      <c r="C92" s="62"/>
      <c r="D92" s="580"/>
      <c r="E92" s="63" t="s">
        <v>101</v>
      </c>
      <c r="F92" s="17"/>
      <c r="G92" s="43"/>
      <c r="H92" s="43"/>
      <c r="I92" s="78"/>
      <c r="J92" s="65">
        <f>'Monthly Summary'!F144+'Monthly Summary'!F147+'Monthly Summary'!F159</f>
        <v>16500</v>
      </c>
    </row>
    <row r="93" spans="2:10" ht="15.75" customHeight="1">
      <c r="B93" s="69"/>
      <c r="C93" s="70">
        <v>2.5</v>
      </c>
      <c r="D93" s="584" t="s">
        <v>102</v>
      </c>
      <c r="E93" s="585"/>
      <c r="F93" s="17"/>
      <c r="G93" s="109">
        <v>333000</v>
      </c>
      <c r="H93" s="109" t="s">
        <v>15</v>
      </c>
      <c r="I93" s="110"/>
      <c r="J93" s="111">
        <f>SUM(J75:J92)</f>
        <v>457200</v>
      </c>
    </row>
    <row r="94" spans="2:10" ht="15.75" customHeight="1">
      <c r="B94" s="69"/>
      <c r="C94" s="62"/>
      <c r="D94" s="587" t="s">
        <v>103</v>
      </c>
      <c r="E94" s="66" t="s">
        <v>104</v>
      </c>
      <c r="F94" s="3"/>
      <c r="G94" s="29">
        <v>6425</v>
      </c>
      <c r="H94" s="29"/>
      <c r="I94" s="78"/>
      <c r="J94" s="65">
        <f>'Gather &amp; Grow'!F14</f>
        <v>3000</v>
      </c>
    </row>
    <row r="95" spans="2:10" ht="15.75" customHeight="1">
      <c r="B95" s="69"/>
      <c r="C95" s="62"/>
      <c r="D95" s="580"/>
      <c r="E95" s="66" t="s">
        <v>105</v>
      </c>
      <c r="F95" s="17"/>
      <c r="G95" s="29">
        <v>6425</v>
      </c>
      <c r="H95" s="29"/>
      <c r="I95" s="78"/>
      <c r="J95" s="65">
        <f>'Gather &amp; Grow'!F12</f>
        <v>6000</v>
      </c>
    </row>
    <row r="96" spans="2:10" ht="15.75" customHeight="1">
      <c r="B96" s="69"/>
      <c r="C96" s="62"/>
      <c r="D96" s="580"/>
      <c r="E96" s="66" t="s">
        <v>19</v>
      </c>
      <c r="F96" s="17"/>
      <c r="G96" s="29" t="s">
        <v>15</v>
      </c>
      <c r="H96" s="29"/>
      <c r="I96" s="78"/>
      <c r="J96" s="65">
        <f>'Gather &amp; Grow'!F13</f>
        <v>15000</v>
      </c>
    </row>
    <row r="97" spans="2:10" ht="15.75" customHeight="1">
      <c r="B97" s="69"/>
      <c r="C97" s="62"/>
      <c r="D97" s="580"/>
      <c r="E97" s="66" t="s">
        <v>106</v>
      </c>
      <c r="F97" s="17"/>
      <c r="G97" s="42">
        <v>12850</v>
      </c>
      <c r="H97" s="42"/>
      <c r="I97" s="78"/>
      <c r="J97" s="65">
        <f>'Gather &amp; Grow'!F15</f>
        <v>7000</v>
      </c>
    </row>
    <row r="98" spans="2:10" ht="15.75" customHeight="1">
      <c r="B98" s="69"/>
      <c r="C98" s="70">
        <v>2.6</v>
      </c>
      <c r="D98" s="584" t="s">
        <v>107</v>
      </c>
      <c r="E98" s="585"/>
      <c r="F98" s="17"/>
      <c r="G98" s="72">
        <v>25700</v>
      </c>
      <c r="H98" s="72" t="s">
        <v>15</v>
      </c>
      <c r="I98" s="69"/>
      <c r="J98" s="74">
        <f>SUM(J94:J97)</f>
        <v>31000</v>
      </c>
    </row>
    <row r="99" spans="2:10" ht="15.75" customHeight="1">
      <c r="B99" s="69"/>
      <c r="C99" s="62"/>
      <c r="D99" s="587" t="s">
        <v>108</v>
      </c>
      <c r="E99" s="66" t="s">
        <v>109</v>
      </c>
      <c r="F99" s="17"/>
      <c r="G99" s="29">
        <v>4487</v>
      </c>
      <c r="H99" s="18"/>
      <c r="I99" s="78"/>
      <c r="J99" s="65">
        <f>'Monthly Summary'!F166</f>
        <v>5000</v>
      </c>
    </row>
    <row r="100" spans="2:10" ht="15.75" customHeight="1">
      <c r="B100" s="69"/>
      <c r="C100" s="62"/>
      <c r="D100" s="580"/>
      <c r="E100" s="66" t="s">
        <v>110</v>
      </c>
      <c r="F100" s="17"/>
      <c r="G100" s="40"/>
      <c r="H100" s="18"/>
      <c r="I100" s="78"/>
      <c r="J100" s="65">
        <f>'Information Tech'!F13</f>
        <v>80000</v>
      </c>
    </row>
    <row r="101" spans="2:10" ht="15.75" customHeight="1">
      <c r="B101" s="69"/>
      <c r="C101" s="62"/>
      <c r="D101" s="580"/>
      <c r="E101" s="66" t="s">
        <v>111</v>
      </c>
      <c r="F101" s="17"/>
      <c r="G101" s="29">
        <v>4487</v>
      </c>
      <c r="H101" s="18"/>
      <c r="I101" s="78"/>
      <c r="J101" s="65">
        <f>'Information Tech'!F12</f>
        <v>10000</v>
      </c>
    </row>
    <row r="102" spans="2:10" ht="15.75" customHeight="1">
      <c r="B102" s="69"/>
      <c r="C102" s="62"/>
      <c r="D102" s="580"/>
      <c r="E102" s="66" t="s">
        <v>112</v>
      </c>
      <c r="F102" s="17"/>
      <c r="G102" s="40"/>
      <c r="H102" s="18"/>
      <c r="I102" s="78"/>
      <c r="J102" s="65">
        <f>'Monthly Summary'!F169</f>
        <v>15600</v>
      </c>
    </row>
    <row r="103" spans="2:10" ht="15.75" customHeight="1">
      <c r="B103" s="69"/>
      <c r="C103" s="62"/>
      <c r="D103" s="580"/>
      <c r="E103" s="66" t="s">
        <v>113</v>
      </c>
      <c r="F103" s="17"/>
      <c r="G103" s="40"/>
      <c r="H103" s="18"/>
      <c r="I103" s="78"/>
      <c r="J103" s="65">
        <f>'Monthly Summary'!F170</f>
        <v>10000</v>
      </c>
    </row>
    <row r="104" spans="2:10" ht="15.75" customHeight="1">
      <c r="B104" s="69"/>
      <c r="C104" s="62"/>
      <c r="D104" s="580"/>
      <c r="E104" s="66" t="s">
        <v>114</v>
      </c>
      <c r="F104" s="17"/>
      <c r="G104" s="29">
        <v>4487</v>
      </c>
      <c r="H104" s="18"/>
      <c r="I104" s="78"/>
      <c r="J104" s="65">
        <f>'Monthly Summary'!F167</f>
        <v>2500</v>
      </c>
    </row>
    <row r="105" spans="2:10" ht="15.75" customHeight="1">
      <c r="B105" s="69"/>
      <c r="C105" s="62"/>
      <c r="D105" s="580"/>
      <c r="E105" s="66" t="s">
        <v>115</v>
      </c>
      <c r="F105" s="17"/>
      <c r="G105" s="29">
        <v>4487</v>
      </c>
      <c r="H105" s="18"/>
      <c r="I105" s="78"/>
      <c r="J105" s="65">
        <f>'Monthly Summary'!F164</f>
        <v>20400</v>
      </c>
    </row>
    <row r="106" spans="2:10" ht="15.75" customHeight="1">
      <c r="B106" s="69"/>
      <c r="C106" s="62"/>
      <c r="D106" s="580"/>
      <c r="E106" s="66" t="s">
        <v>116</v>
      </c>
      <c r="F106" s="17"/>
      <c r="G106" s="42">
        <v>37955</v>
      </c>
      <c r="H106" s="97">
        <v>15000</v>
      </c>
      <c r="I106" s="78"/>
      <c r="J106" s="65">
        <f>'Monthly Summary'!F165</f>
        <v>35160</v>
      </c>
    </row>
    <row r="107" spans="2:10" ht="15.75" customHeight="1">
      <c r="B107" s="69"/>
      <c r="C107" s="70">
        <v>2.7</v>
      </c>
      <c r="D107" s="584" t="s">
        <v>117</v>
      </c>
      <c r="E107" s="585"/>
      <c r="F107" s="17"/>
      <c r="G107" s="72">
        <v>60390</v>
      </c>
      <c r="H107" s="72">
        <v>15000</v>
      </c>
      <c r="I107" s="69"/>
      <c r="J107" s="74">
        <f>SUM(J99:J106)</f>
        <v>178660</v>
      </c>
    </row>
    <row r="108" spans="2:10" ht="15.75" customHeight="1">
      <c r="B108" s="69"/>
      <c r="C108" s="62"/>
      <c r="D108" s="3"/>
      <c r="E108" s="66" t="s">
        <v>118</v>
      </c>
      <c r="F108" s="17"/>
      <c r="G108" s="97" t="s">
        <v>15</v>
      </c>
      <c r="H108" s="43"/>
      <c r="I108" s="3"/>
      <c r="J108" s="112">
        <f>'Monthly Summary'!F173</f>
        <v>7349.0570000000298</v>
      </c>
    </row>
    <row r="109" spans="2:10" ht="15.75" customHeight="1">
      <c r="B109" s="69"/>
      <c r="C109" s="70">
        <v>2.8</v>
      </c>
      <c r="D109" s="588" t="s">
        <v>119</v>
      </c>
      <c r="E109" s="589"/>
      <c r="F109" s="113"/>
      <c r="G109" s="88" t="s">
        <v>15</v>
      </c>
      <c r="H109" s="72" t="s">
        <v>15</v>
      </c>
      <c r="I109" s="102"/>
      <c r="J109" s="114">
        <f>SUM(J108)</f>
        <v>7349.0570000000298</v>
      </c>
    </row>
    <row r="110" spans="2:10" ht="15.75" customHeight="1">
      <c r="B110" s="53"/>
      <c r="C110" s="115"/>
      <c r="D110" s="116"/>
      <c r="E110" s="117" t="s">
        <v>120</v>
      </c>
      <c r="F110" s="113"/>
      <c r="G110" s="118" t="e">
        <v>#REF!</v>
      </c>
      <c r="H110" s="118" t="e">
        <v>#REF!</v>
      </c>
      <c r="I110" s="102"/>
      <c r="J110" s="119">
        <f>J38+J40+J52+J68+J74+J93+J98+J107+J109</f>
        <v>16437508.324999999</v>
      </c>
    </row>
    <row r="111" spans="2:10" ht="15.75" customHeight="1">
      <c r="B111" s="3"/>
      <c r="C111" s="9"/>
      <c r="D111" s="3"/>
      <c r="E111" s="59"/>
      <c r="F111" s="17"/>
      <c r="G111" s="120"/>
      <c r="H111" s="120"/>
      <c r="I111" s="121"/>
      <c r="J111" s="122"/>
    </row>
    <row r="112" spans="2:10" ht="15.75" customHeight="1">
      <c r="B112" s="3"/>
      <c r="C112" s="9"/>
      <c r="D112" s="78"/>
      <c r="E112" s="123" t="s">
        <v>121</v>
      </c>
      <c r="F112" s="4"/>
      <c r="G112" s="124" t="e">
        <v>#REF!</v>
      </c>
      <c r="H112" s="124" t="e">
        <v>#REF!</v>
      </c>
      <c r="I112" s="125"/>
      <c r="J112" s="126">
        <f>J32-J110</f>
        <v>0</v>
      </c>
    </row>
    <row r="113" spans="2:10" ht="15.75" customHeight="1">
      <c r="B113" s="3"/>
      <c r="C113" s="9"/>
      <c r="D113" s="3"/>
      <c r="E113" s="3"/>
      <c r="F113" s="3"/>
      <c r="G113" s="18"/>
      <c r="H113" s="18"/>
      <c r="I113" s="3"/>
      <c r="J113" s="3"/>
    </row>
    <row r="114" spans="2:10" ht="15.75" customHeight="1">
      <c r="B114" s="3"/>
      <c r="C114" s="9"/>
      <c r="D114" s="3"/>
      <c r="E114" s="3"/>
      <c r="F114" s="3"/>
      <c r="G114" s="127" t="e">
        <v>#REF!</v>
      </c>
      <c r="H114" s="18"/>
      <c r="I114" s="580"/>
      <c r="J114" s="580"/>
    </row>
    <row r="115" spans="2:10" ht="15.75" customHeight="1">
      <c r="B115" s="3"/>
      <c r="C115" s="3"/>
      <c r="D115" s="3"/>
      <c r="E115" s="3"/>
      <c r="F115" s="3"/>
      <c r="G115" s="3"/>
      <c r="H115" s="3"/>
      <c r="I115" s="3"/>
      <c r="J115" s="3"/>
    </row>
    <row r="116" spans="2:10" ht="15.75" customHeight="1">
      <c r="B116" s="3"/>
      <c r="C116" s="3"/>
      <c r="D116" s="3"/>
      <c r="E116" s="3"/>
      <c r="F116" s="3"/>
      <c r="G116" s="3"/>
      <c r="H116" s="3"/>
      <c r="I116" s="3"/>
      <c r="J116" s="3"/>
    </row>
    <row r="117" spans="2:10" ht="15.75" customHeight="1">
      <c r="B117" s="3"/>
      <c r="C117" s="3"/>
      <c r="D117" s="3"/>
      <c r="E117" s="3"/>
      <c r="F117" s="3"/>
      <c r="G117" s="3"/>
      <c r="H117" s="3"/>
      <c r="I117" s="3"/>
      <c r="J117" s="3"/>
    </row>
    <row r="118" spans="2:10" ht="15.75" customHeight="1">
      <c r="B118" s="3"/>
      <c r="C118" s="3"/>
      <c r="D118" s="3"/>
      <c r="E118" s="3"/>
      <c r="F118" s="3"/>
      <c r="G118" s="3"/>
      <c r="H118" s="3"/>
      <c r="I118" s="3"/>
      <c r="J118" s="3"/>
    </row>
    <row r="119" spans="2:10" ht="15.75" customHeight="1">
      <c r="B119" s="3"/>
      <c r="C119" s="3"/>
      <c r="D119" s="3"/>
      <c r="E119" s="3"/>
      <c r="F119" s="3"/>
      <c r="G119" s="3"/>
      <c r="H119" s="3"/>
      <c r="I119" s="3"/>
      <c r="J119" s="3"/>
    </row>
    <row r="120" spans="2:10" ht="15.75" customHeight="1">
      <c r="B120" s="3"/>
      <c r="C120" s="3"/>
      <c r="D120" s="3"/>
      <c r="E120" s="3"/>
      <c r="F120" s="3"/>
      <c r="G120" s="3"/>
      <c r="H120" s="3"/>
      <c r="I120" s="3"/>
      <c r="J120" s="3"/>
    </row>
    <row r="121" spans="2:10" ht="15.75" customHeight="1">
      <c r="B121" s="3"/>
      <c r="C121" s="3"/>
      <c r="D121" s="3"/>
      <c r="E121" s="3"/>
      <c r="F121" s="3"/>
      <c r="G121" s="3"/>
      <c r="H121" s="3"/>
      <c r="I121" s="3"/>
      <c r="J121" s="3"/>
    </row>
    <row r="122" spans="2:10" ht="15.75" customHeight="1">
      <c r="B122" s="3"/>
      <c r="C122" s="3"/>
      <c r="D122" s="3"/>
      <c r="E122" s="3"/>
      <c r="F122" s="3"/>
      <c r="G122" s="3"/>
      <c r="H122" s="3"/>
      <c r="I122" s="3"/>
      <c r="J122" s="3"/>
    </row>
    <row r="123" spans="2:10" ht="15.75" customHeight="1">
      <c r="B123" s="3"/>
      <c r="C123" s="3"/>
      <c r="D123" s="3"/>
      <c r="E123" s="3"/>
      <c r="F123" s="3"/>
      <c r="G123" s="3"/>
      <c r="H123" s="3"/>
      <c r="I123" s="3"/>
      <c r="J123" s="3"/>
    </row>
    <row r="124" spans="2:10" ht="15.75" customHeight="1">
      <c r="B124" s="3"/>
      <c r="C124" s="3"/>
      <c r="D124" s="3"/>
      <c r="E124" s="3"/>
      <c r="F124" s="3"/>
      <c r="G124" s="3"/>
      <c r="H124" s="3"/>
      <c r="I124" s="3"/>
      <c r="J124" s="3"/>
    </row>
    <row r="125" spans="2:10" ht="15.75" customHeight="1">
      <c r="B125" s="3"/>
      <c r="C125" s="3"/>
      <c r="D125" s="3"/>
      <c r="E125" s="3"/>
      <c r="F125" s="3"/>
      <c r="G125" s="3"/>
      <c r="H125" s="3"/>
      <c r="I125" s="3"/>
      <c r="J125" s="3"/>
    </row>
    <row r="126" spans="2:10" ht="15.75" customHeight="1">
      <c r="B126" s="3"/>
      <c r="C126" s="3"/>
      <c r="D126" s="3"/>
      <c r="E126" s="3"/>
      <c r="F126" s="3"/>
      <c r="G126" s="3"/>
      <c r="H126" s="3"/>
      <c r="I126" s="3"/>
      <c r="J126" s="3"/>
    </row>
    <row r="127" spans="2:10" ht="15.75" customHeight="1">
      <c r="B127" s="3"/>
      <c r="C127" s="3"/>
      <c r="D127" s="3"/>
      <c r="E127" s="3"/>
      <c r="F127" s="3"/>
      <c r="G127" s="3"/>
      <c r="H127" s="3"/>
      <c r="I127" s="3"/>
      <c r="J127" s="3"/>
    </row>
    <row r="128" spans="2:10" ht="15.75" customHeight="1">
      <c r="B128" s="3"/>
      <c r="C128" s="3"/>
      <c r="D128" s="3"/>
      <c r="E128" s="3"/>
      <c r="F128" s="3"/>
      <c r="G128" s="3"/>
      <c r="H128" s="3"/>
      <c r="I128" s="3"/>
      <c r="J128" s="3"/>
    </row>
    <row r="129" spans="2:10" ht="15.75" customHeight="1">
      <c r="B129" s="3"/>
      <c r="C129" s="3"/>
      <c r="D129" s="3"/>
      <c r="E129" s="3"/>
      <c r="F129" s="3"/>
      <c r="G129" s="3"/>
      <c r="H129" s="3"/>
      <c r="I129" s="3"/>
      <c r="J129" s="3"/>
    </row>
    <row r="130" spans="2:10" ht="15.75" customHeight="1">
      <c r="B130" s="3"/>
      <c r="C130" s="3"/>
      <c r="D130" s="3"/>
      <c r="E130" s="3"/>
      <c r="F130" s="3"/>
      <c r="G130" s="3"/>
      <c r="H130" s="3"/>
      <c r="I130" s="3"/>
      <c r="J130" s="3"/>
    </row>
    <row r="131" spans="2:10" ht="15.75" customHeight="1">
      <c r="B131" s="3"/>
      <c r="C131" s="3"/>
      <c r="D131" s="3"/>
      <c r="E131" s="3"/>
      <c r="F131" s="3"/>
      <c r="G131" s="3"/>
      <c r="H131" s="3"/>
      <c r="I131" s="3"/>
      <c r="J131" s="3"/>
    </row>
    <row r="132" spans="2:10" ht="15.75" customHeight="1">
      <c r="B132" s="3"/>
      <c r="C132" s="3"/>
      <c r="D132" s="3"/>
      <c r="E132" s="3"/>
      <c r="F132" s="3"/>
      <c r="G132" s="3"/>
      <c r="H132" s="3"/>
      <c r="I132" s="3"/>
      <c r="J132" s="3"/>
    </row>
    <row r="133" spans="2:10" ht="15.75" customHeight="1">
      <c r="B133" s="3"/>
      <c r="C133" s="3"/>
      <c r="D133" s="3"/>
      <c r="E133" s="3"/>
      <c r="F133" s="3"/>
      <c r="G133" s="3"/>
      <c r="H133" s="3"/>
      <c r="I133" s="3"/>
      <c r="J133" s="3"/>
    </row>
    <row r="134" spans="2:10" ht="15.75" customHeight="1">
      <c r="B134" s="3"/>
      <c r="C134" s="3"/>
      <c r="D134" s="3"/>
      <c r="E134" s="3"/>
      <c r="F134" s="3"/>
      <c r="G134" s="3"/>
      <c r="H134" s="3"/>
      <c r="I134" s="3"/>
      <c r="J134" s="3"/>
    </row>
    <row r="135" spans="2:10" ht="15.75" customHeight="1">
      <c r="B135" s="3"/>
      <c r="C135" s="3"/>
      <c r="D135" s="3"/>
      <c r="E135" s="3"/>
      <c r="F135" s="3"/>
      <c r="G135" s="3"/>
      <c r="H135" s="3"/>
      <c r="I135" s="3"/>
      <c r="J135" s="3"/>
    </row>
    <row r="136" spans="2:10" ht="15.75" customHeight="1">
      <c r="B136" s="3"/>
      <c r="C136" s="3"/>
      <c r="D136" s="3"/>
      <c r="E136" s="3"/>
      <c r="F136" s="3"/>
      <c r="G136" s="3"/>
      <c r="H136" s="3"/>
      <c r="I136" s="3"/>
      <c r="J136" s="3"/>
    </row>
    <row r="137" spans="2:10" ht="15.75" customHeight="1">
      <c r="B137" s="3"/>
      <c r="C137" s="3"/>
      <c r="D137" s="3"/>
      <c r="E137" s="3"/>
      <c r="F137" s="3"/>
      <c r="G137" s="3"/>
      <c r="H137" s="3"/>
      <c r="I137" s="3"/>
      <c r="J137" s="3"/>
    </row>
    <row r="138" spans="2:10" ht="15.75" customHeight="1">
      <c r="B138" s="3"/>
      <c r="C138" s="3"/>
      <c r="D138" s="3"/>
      <c r="E138" s="3"/>
      <c r="F138" s="3"/>
      <c r="G138" s="3"/>
      <c r="H138" s="3"/>
      <c r="I138" s="3"/>
      <c r="J138" s="3"/>
    </row>
    <row r="139" spans="2:10" ht="15.75" customHeight="1">
      <c r="B139" s="3"/>
      <c r="C139" s="3"/>
      <c r="D139" s="3"/>
      <c r="E139" s="3"/>
      <c r="F139" s="3"/>
      <c r="G139" s="3"/>
      <c r="H139" s="3"/>
      <c r="I139" s="3"/>
      <c r="J139" s="3"/>
    </row>
    <row r="140" spans="2:10" ht="15.75" customHeight="1">
      <c r="B140" s="3"/>
      <c r="C140" s="3"/>
      <c r="D140" s="3"/>
      <c r="E140" s="3"/>
      <c r="F140" s="3"/>
      <c r="G140" s="3"/>
      <c r="H140" s="3"/>
      <c r="I140" s="3"/>
      <c r="J140" s="3"/>
    </row>
    <row r="141" spans="2:10" ht="15.75" customHeight="1">
      <c r="B141" s="3"/>
      <c r="C141" s="3"/>
      <c r="D141" s="3"/>
      <c r="E141" s="3"/>
      <c r="F141" s="3"/>
      <c r="G141" s="3"/>
      <c r="H141" s="3"/>
      <c r="I141" s="3"/>
      <c r="J141" s="3"/>
    </row>
    <row r="142" spans="2:10" ht="15.75" customHeight="1">
      <c r="B142" s="3"/>
      <c r="C142" s="3"/>
      <c r="D142" s="3"/>
      <c r="E142" s="3"/>
      <c r="F142" s="3"/>
      <c r="G142" s="3"/>
      <c r="H142" s="3"/>
      <c r="I142" s="3"/>
      <c r="J142" s="3"/>
    </row>
    <row r="143" spans="2:10" ht="15.75" customHeight="1">
      <c r="B143" s="3"/>
      <c r="C143" s="3"/>
      <c r="D143" s="3"/>
      <c r="E143" s="3"/>
      <c r="F143" s="3"/>
      <c r="G143" s="3"/>
      <c r="H143" s="3"/>
      <c r="I143" s="3"/>
      <c r="J143" s="3"/>
    </row>
    <row r="144" spans="2:10" ht="15.75" customHeight="1">
      <c r="B144" s="3"/>
      <c r="C144" s="3"/>
      <c r="D144" s="3"/>
      <c r="E144" s="3"/>
      <c r="F144" s="3"/>
      <c r="G144" s="3"/>
      <c r="H144" s="3"/>
      <c r="I144" s="3"/>
      <c r="J144" s="3"/>
    </row>
    <row r="145" spans="2:10" ht="15.75" customHeight="1">
      <c r="B145" s="3"/>
      <c r="C145" s="3"/>
      <c r="D145" s="3"/>
      <c r="E145" s="3"/>
      <c r="F145" s="3"/>
      <c r="G145" s="3"/>
      <c r="H145" s="3"/>
      <c r="I145" s="3"/>
      <c r="J145" s="3"/>
    </row>
    <row r="146" spans="2:10" ht="15.75" customHeight="1">
      <c r="B146" s="3"/>
      <c r="C146" s="3"/>
      <c r="D146" s="3"/>
      <c r="E146" s="3"/>
      <c r="F146" s="3"/>
      <c r="G146" s="3"/>
      <c r="H146" s="3"/>
      <c r="I146" s="3"/>
      <c r="J146" s="3"/>
    </row>
    <row r="147" spans="2:10" ht="15.75" customHeight="1">
      <c r="B147" s="3"/>
      <c r="C147" s="3"/>
      <c r="D147" s="3"/>
      <c r="E147" s="3"/>
      <c r="F147" s="3"/>
      <c r="G147" s="3"/>
      <c r="H147" s="3"/>
      <c r="I147" s="3"/>
      <c r="J147" s="3"/>
    </row>
    <row r="148" spans="2:10" ht="15.75" customHeight="1">
      <c r="B148" s="3"/>
      <c r="C148" s="3"/>
      <c r="D148" s="3"/>
      <c r="E148" s="3"/>
      <c r="F148" s="3"/>
      <c r="G148" s="3"/>
      <c r="H148" s="3"/>
      <c r="I148" s="3"/>
      <c r="J148" s="3"/>
    </row>
    <row r="149" spans="2:10" ht="15.75" customHeight="1">
      <c r="B149" s="3"/>
      <c r="C149" s="3"/>
      <c r="D149" s="3"/>
      <c r="E149" s="3"/>
      <c r="F149" s="3"/>
      <c r="G149" s="3"/>
      <c r="H149" s="3"/>
      <c r="I149" s="3"/>
      <c r="J149" s="3"/>
    </row>
    <row r="150" spans="2:10" ht="15.75" customHeight="1">
      <c r="B150" s="3"/>
      <c r="C150" s="3"/>
      <c r="D150" s="3"/>
      <c r="E150" s="3"/>
      <c r="F150" s="3"/>
      <c r="G150" s="3"/>
      <c r="H150" s="3"/>
      <c r="I150" s="3"/>
      <c r="J150" s="3"/>
    </row>
    <row r="151" spans="2:10" ht="15.75" customHeight="1">
      <c r="B151" s="3"/>
      <c r="C151" s="3"/>
      <c r="D151" s="3"/>
      <c r="E151" s="3"/>
      <c r="F151" s="3"/>
      <c r="G151" s="3"/>
      <c r="H151" s="3"/>
      <c r="I151" s="3"/>
      <c r="J151" s="3"/>
    </row>
    <row r="152" spans="2:10" ht="15.75" customHeight="1">
      <c r="B152" s="3"/>
      <c r="C152" s="3"/>
      <c r="D152" s="3"/>
      <c r="E152" s="3"/>
      <c r="F152" s="3"/>
      <c r="G152" s="3"/>
      <c r="H152" s="3"/>
      <c r="I152" s="3"/>
      <c r="J152" s="3"/>
    </row>
    <row r="153" spans="2:10" ht="15.75" customHeight="1">
      <c r="B153" s="3"/>
      <c r="C153" s="3"/>
      <c r="D153" s="3"/>
      <c r="E153" s="3"/>
      <c r="F153" s="3"/>
      <c r="G153" s="3"/>
      <c r="H153" s="3"/>
      <c r="I153" s="3"/>
      <c r="J153" s="3"/>
    </row>
    <row r="154" spans="2:10" ht="15.75" customHeight="1">
      <c r="B154" s="3"/>
      <c r="C154" s="3"/>
      <c r="D154" s="3"/>
      <c r="E154" s="3"/>
      <c r="F154" s="3"/>
      <c r="G154" s="3"/>
      <c r="H154" s="3"/>
      <c r="I154" s="3"/>
      <c r="J154" s="3"/>
    </row>
    <row r="155" spans="2:10" ht="15.75" customHeight="1">
      <c r="B155" s="3"/>
      <c r="C155" s="3"/>
      <c r="D155" s="3"/>
      <c r="E155" s="3"/>
      <c r="F155" s="3"/>
      <c r="G155" s="3"/>
      <c r="H155" s="3"/>
      <c r="I155" s="3"/>
      <c r="J155" s="3"/>
    </row>
    <row r="156" spans="2:10" ht="15.75" customHeight="1">
      <c r="B156" s="3"/>
      <c r="C156" s="3"/>
      <c r="D156" s="3"/>
      <c r="E156" s="3"/>
      <c r="F156" s="3"/>
      <c r="G156" s="3"/>
      <c r="H156" s="3"/>
      <c r="I156" s="3"/>
      <c r="J156" s="3"/>
    </row>
    <row r="157" spans="2:10" ht="15.75" customHeight="1">
      <c r="B157" s="3"/>
      <c r="C157" s="3"/>
      <c r="D157" s="3"/>
      <c r="E157" s="3"/>
      <c r="F157" s="3"/>
      <c r="G157" s="3"/>
      <c r="H157" s="3"/>
      <c r="I157" s="3"/>
      <c r="J157" s="3"/>
    </row>
    <row r="158" spans="2:10" ht="15.75" customHeight="1">
      <c r="B158" s="3"/>
      <c r="C158" s="3"/>
      <c r="D158" s="3"/>
      <c r="E158" s="3"/>
      <c r="F158" s="3"/>
      <c r="G158" s="3"/>
      <c r="H158" s="3"/>
      <c r="I158" s="3"/>
      <c r="J158" s="3"/>
    </row>
    <row r="159" spans="2:10" ht="15.75" customHeight="1">
      <c r="B159" s="3"/>
      <c r="C159" s="3"/>
      <c r="D159" s="3"/>
      <c r="E159" s="3"/>
      <c r="F159" s="3"/>
      <c r="G159" s="3"/>
      <c r="H159" s="3"/>
      <c r="I159" s="3"/>
      <c r="J159" s="3"/>
    </row>
    <row r="160" spans="2:10" ht="15.75" customHeight="1">
      <c r="B160" s="3"/>
      <c r="C160" s="3"/>
      <c r="D160" s="3"/>
      <c r="E160" s="3"/>
      <c r="F160" s="3"/>
      <c r="G160" s="3"/>
      <c r="H160" s="3"/>
      <c r="I160" s="3"/>
      <c r="J160" s="3"/>
    </row>
    <row r="161" spans="2:10" ht="15.75" customHeight="1">
      <c r="B161" s="3"/>
      <c r="C161" s="3"/>
      <c r="D161" s="3"/>
      <c r="E161" s="3"/>
      <c r="F161" s="3"/>
      <c r="G161" s="3"/>
      <c r="H161" s="3"/>
      <c r="I161" s="3"/>
      <c r="J161" s="3"/>
    </row>
    <row r="162" spans="2:10" ht="15.75" customHeight="1">
      <c r="B162" s="3"/>
      <c r="C162" s="3"/>
      <c r="D162" s="3"/>
      <c r="E162" s="3"/>
      <c r="F162" s="3"/>
      <c r="G162" s="3"/>
      <c r="H162" s="3"/>
      <c r="I162" s="3"/>
      <c r="J162" s="3"/>
    </row>
    <row r="163" spans="2:10" ht="15.75" customHeight="1">
      <c r="B163" s="3"/>
      <c r="C163" s="3"/>
      <c r="D163" s="3"/>
      <c r="E163" s="3"/>
      <c r="F163" s="3"/>
      <c r="G163" s="3"/>
      <c r="H163" s="3"/>
      <c r="I163" s="3"/>
      <c r="J163" s="3"/>
    </row>
    <row r="164" spans="2:10" ht="15.75" customHeight="1">
      <c r="B164" s="3"/>
      <c r="C164" s="3"/>
      <c r="D164" s="3"/>
      <c r="E164" s="3"/>
      <c r="F164" s="3"/>
      <c r="G164" s="3"/>
      <c r="H164" s="3"/>
      <c r="I164" s="3"/>
      <c r="J164" s="3"/>
    </row>
    <row r="165" spans="2:10" ht="15.75" customHeight="1">
      <c r="B165" s="3"/>
      <c r="C165" s="3"/>
      <c r="D165" s="3"/>
      <c r="E165" s="3"/>
      <c r="F165" s="3"/>
      <c r="G165" s="3"/>
      <c r="H165" s="3"/>
      <c r="I165" s="3"/>
      <c r="J165" s="3"/>
    </row>
    <row r="166" spans="2:10" ht="15.75" customHeight="1">
      <c r="B166" s="3"/>
      <c r="C166" s="3"/>
      <c r="D166" s="3"/>
      <c r="E166" s="3"/>
      <c r="F166" s="3"/>
      <c r="G166" s="3"/>
      <c r="H166" s="3"/>
      <c r="I166" s="3"/>
      <c r="J166" s="3"/>
    </row>
    <row r="167" spans="2:10" ht="15.75" customHeight="1">
      <c r="B167" s="3"/>
      <c r="C167" s="3"/>
      <c r="D167" s="3"/>
      <c r="E167" s="3"/>
      <c r="F167" s="3"/>
      <c r="G167" s="3"/>
      <c r="H167" s="3"/>
      <c r="I167" s="3"/>
      <c r="J167" s="3"/>
    </row>
    <row r="168" spans="2:10" ht="15.75" customHeight="1">
      <c r="B168" s="3"/>
      <c r="C168" s="3"/>
      <c r="D168" s="3"/>
      <c r="E168" s="3"/>
      <c r="F168" s="3"/>
      <c r="G168" s="3"/>
      <c r="H168" s="3"/>
      <c r="I168" s="3"/>
      <c r="J168" s="3"/>
    </row>
    <row r="169" spans="2:10" ht="15.75" customHeight="1">
      <c r="B169" s="3"/>
      <c r="C169" s="3"/>
      <c r="D169" s="3"/>
      <c r="E169" s="3"/>
      <c r="F169" s="3"/>
      <c r="G169" s="3"/>
      <c r="H169" s="3"/>
      <c r="I169" s="3"/>
      <c r="J169" s="3"/>
    </row>
    <row r="170" spans="2:10" ht="15.75" customHeight="1">
      <c r="B170" s="3"/>
      <c r="C170" s="3"/>
      <c r="D170" s="3"/>
      <c r="E170" s="3"/>
      <c r="F170" s="3"/>
      <c r="G170" s="3"/>
      <c r="H170" s="3"/>
      <c r="I170" s="3"/>
      <c r="J170" s="3"/>
    </row>
    <row r="171" spans="2:10" ht="15.75" customHeight="1">
      <c r="B171" s="3"/>
      <c r="C171" s="3"/>
      <c r="D171" s="3"/>
      <c r="E171" s="3"/>
      <c r="F171" s="3"/>
      <c r="G171" s="3"/>
      <c r="H171" s="3"/>
      <c r="I171" s="3"/>
      <c r="J171" s="3"/>
    </row>
    <row r="172" spans="2:10" ht="15.75" customHeight="1">
      <c r="B172" s="3"/>
      <c r="C172" s="3"/>
      <c r="D172" s="3"/>
      <c r="E172" s="3"/>
      <c r="F172" s="3"/>
      <c r="G172" s="3"/>
      <c r="H172" s="3"/>
      <c r="I172" s="3"/>
      <c r="J172" s="3"/>
    </row>
    <row r="173" spans="2:10" ht="15.75" customHeight="1">
      <c r="B173" s="3"/>
      <c r="C173" s="3"/>
      <c r="D173" s="3"/>
      <c r="E173" s="3"/>
      <c r="F173" s="3"/>
      <c r="G173" s="3"/>
      <c r="H173" s="3"/>
      <c r="I173" s="3"/>
      <c r="J173" s="3"/>
    </row>
    <row r="174" spans="2:10" ht="15.75" customHeight="1">
      <c r="B174" s="3"/>
      <c r="C174" s="3"/>
      <c r="D174" s="3"/>
      <c r="E174" s="3"/>
      <c r="F174" s="3"/>
      <c r="G174" s="3"/>
      <c r="H174" s="3"/>
      <c r="I174" s="3"/>
      <c r="J174" s="3"/>
    </row>
    <row r="175" spans="2:10" ht="15.75" customHeight="1">
      <c r="B175" s="3"/>
      <c r="C175" s="3"/>
      <c r="D175" s="3"/>
      <c r="E175" s="3"/>
      <c r="F175" s="3"/>
      <c r="G175" s="3"/>
      <c r="H175" s="3"/>
      <c r="I175" s="3"/>
      <c r="J175" s="3"/>
    </row>
    <row r="176" spans="2:10" ht="15.75" customHeight="1">
      <c r="B176" s="3"/>
      <c r="C176" s="3"/>
      <c r="D176" s="3"/>
      <c r="E176" s="3"/>
      <c r="F176" s="3"/>
      <c r="G176" s="3"/>
      <c r="H176" s="3"/>
      <c r="I176" s="3"/>
      <c r="J176" s="3"/>
    </row>
    <row r="177" spans="2:10" ht="15.75" customHeight="1">
      <c r="B177" s="3"/>
      <c r="C177" s="3"/>
      <c r="D177" s="3"/>
      <c r="E177" s="3"/>
      <c r="F177" s="3"/>
      <c r="G177" s="3"/>
      <c r="H177" s="3"/>
      <c r="I177" s="3"/>
      <c r="J177" s="3"/>
    </row>
    <row r="178" spans="2:10" ht="15.75" customHeight="1">
      <c r="B178" s="3"/>
      <c r="C178" s="3"/>
      <c r="D178" s="3"/>
      <c r="E178" s="3"/>
      <c r="F178" s="3"/>
      <c r="G178" s="3"/>
      <c r="H178" s="3"/>
      <c r="I178" s="3"/>
      <c r="J178" s="3"/>
    </row>
    <row r="179" spans="2:10" ht="15.75" customHeight="1">
      <c r="B179" s="3"/>
      <c r="C179" s="3"/>
      <c r="D179" s="3"/>
      <c r="E179" s="3"/>
      <c r="F179" s="3"/>
      <c r="G179" s="3"/>
      <c r="H179" s="3"/>
      <c r="I179" s="3"/>
      <c r="J179" s="3"/>
    </row>
    <row r="180" spans="2:10" ht="15.75" customHeight="1">
      <c r="B180" s="3"/>
      <c r="C180" s="3"/>
      <c r="D180" s="3"/>
      <c r="E180" s="3"/>
      <c r="F180" s="3"/>
      <c r="G180" s="3"/>
      <c r="H180" s="3"/>
      <c r="I180" s="3"/>
      <c r="J180" s="3"/>
    </row>
    <row r="181" spans="2:10" ht="15.75" customHeight="1">
      <c r="B181" s="3"/>
      <c r="C181" s="3"/>
      <c r="D181" s="3"/>
      <c r="E181" s="3"/>
      <c r="F181" s="3"/>
      <c r="G181" s="3"/>
      <c r="H181" s="3"/>
      <c r="I181" s="3"/>
      <c r="J181" s="3"/>
    </row>
    <row r="182" spans="2:10" ht="15.75" customHeight="1">
      <c r="B182" s="3"/>
      <c r="C182" s="3"/>
      <c r="D182" s="3"/>
      <c r="E182" s="3"/>
      <c r="F182" s="3"/>
      <c r="G182" s="3"/>
      <c r="H182" s="3"/>
      <c r="I182" s="3"/>
      <c r="J182" s="3"/>
    </row>
    <row r="183" spans="2:10" ht="15.75" customHeight="1">
      <c r="B183" s="3"/>
      <c r="C183" s="3"/>
      <c r="D183" s="3"/>
      <c r="E183" s="3"/>
      <c r="F183" s="3"/>
      <c r="G183" s="3"/>
      <c r="H183" s="3"/>
      <c r="I183" s="3"/>
      <c r="J183" s="3"/>
    </row>
    <row r="184" spans="2:10" ht="15.75" customHeight="1">
      <c r="B184" s="3"/>
      <c r="C184" s="3"/>
      <c r="D184" s="3"/>
      <c r="E184" s="3"/>
      <c r="F184" s="3"/>
      <c r="G184" s="3"/>
      <c r="H184" s="3"/>
      <c r="I184" s="3"/>
      <c r="J184" s="3"/>
    </row>
    <row r="185" spans="2:10" ht="15.75" customHeight="1">
      <c r="B185" s="3"/>
      <c r="C185" s="3"/>
      <c r="D185" s="3"/>
      <c r="E185" s="3"/>
      <c r="F185" s="3"/>
      <c r="G185" s="3"/>
      <c r="H185" s="3"/>
      <c r="I185" s="3"/>
      <c r="J185" s="3"/>
    </row>
    <row r="186" spans="2:10" ht="15.75" customHeight="1">
      <c r="B186" s="3"/>
      <c r="C186" s="3"/>
      <c r="D186" s="3"/>
      <c r="E186" s="3"/>
      <c r="F186" s="3"/>
      <c r="G186" s="3"/>
      <c r="H186" s="3"/>
      <c r="I186" s="3"/>
      <c r="J186" s="3"/>
    </row>
    <row r="187" spans="2:10" ht="15.75" customHeight="1">
      <c r="B187" s="3"/>
      <c r="C187" s="3"/>
      <c r="D187" s="3"/>
      <c r="E187" s="3"/>
      <c r="F187" s="3"/>
      <c r="G187" s="3"/>
      <c r="H187" s="3"/>
      <c r="I187" s="3"/>
      <c r="J187" s="3"/>
    </row>
    <row r="188" spans="2:10" ht="15.75" customHeight="1">
      <c r="B188" s="3"/>
      <c r="C188" s="3"/>
      <c r="D188" s="3"/>
      <c r="E188" s="3"/>
      <c r="F188" s="3"/>
      <c r="G188" s="3"/>
      <c r="H188" s="3"/>
      <c r="I188" s="3"/>
      <c r="J188" s="3"/>
    </row>
    <row r="189" spans="2:10" ht="15.75" customHeight="1">
      <c r="B189" s="3"/>
      <c r="C189" s="3"/>
      <c r="D189" s="3"/>
      <c r="E189" s="3"/>
      <c r="F189" s="3"/>
      <c r="G189" s="3"/>
      <c r="H189" s="3"/>
      <c r="I189" s="3"/>
      <c r="J189" s="3"/>
    </row>
    <row r="190" spans="2:10" ht="15.75" customHeight="1">
      <c r="B190" s="3"/>
      <c r="C190" s="3"/>
      <c r="D190" s="3"/>
      <c r="E190" s="3"/>
      <c r="F190" s="3"/>
      <c r="G190" s="3"/>
      <c r="H190" s="3"/>
      <c r="I190" s="3"/>
      <c r="J190" s="3"/>
    </row>
    <row r="191" spans="2:10" ht="15.75" customHeight="1">
      <c r="B191" s="3"/>
      <c r="C191" s="3"/>
      <c r="D191" s="3"/>
      <c r="E191" s="3"/>
      <c r="F191" s="3"/>
      <c r="G191" s="3"/>
      <c r="H191" s="3"/>
      <c r="I191" s="3"/>
      <c r="J191" s="3"/>
    </row>
    <row r="192" spans="2:10" ht="15.75" customHeight="1">
      <c r="B192" s="3"/>
      <c r="C192" s="3"/>
      <c r="D192" s="3"/>
      <c r="E192" s="3"/>
      <c r="F192" s="3"/>
      <c r="G192" s="3"/>
      <c r="H192" s="3"/>
      <c r="I192" s="3"/>
      <c r="J192" s="3"/>
    </row>
    <row r="193" spans="2:10" ht="15.75" customHeight="1">
      <c r="B193" s="3"/>
      <c r="C193" s="3"/>
      <c r="D193" s="3"/>
      <c r="E193" s="3"/>
      <c r="F193" s="3"/>
      <c r="G193" s="3"/>
      <c r="H193" s="3"/>
      <c r="I193" s="3"/>
      <c r="J193" s="3"/>
    </row>
    <row r="194" spans="2:10" ht="15.75" customHeight="1">
      <c r="B194" s="3"/>
      <c r="C194" s="3"/>
      <c r="D194" s="3"/>
      <c r="E194" s="3"/>
      <c r="F194" s="3"/>
      <c r="G194" s="3"/>
      <c r="H194" s="3"/>
      <c r="I194" s="3"/>
      <c r="J194" s="3"/>
    </row>
    <row r="195" spans="2:10" ht="15.75" customHeight="1">
      <c r="B195" s="3"/>
      <c r="C195" s="3"/>
      <c r="D195" s="3"/>
      <c r="E195" s="3"/>
      <c r="F195" s="3"/>
      <c r="G195" s="3"/>
      <c r="H195" s="3"/>
      <c r="I195" s="3"/>
      <c r="J195" s="3"/>
    </row>
    <row r="196" spans="2:10" ht="15.75" customHeight="1">
      <c r="B196" s="3"/>
      <c r="C196" s="3"/>
      <c r="D196" s="3"/>
      <c r="E196" s="3"/>
      <c r="F196" s="3"/>
      <c r="G196" s="3"/>
      <c r="H196" s="3"/>
      <c r="I196" s="3"/>
      <c r="J196" s="3"/>
    </row>
    <row r="197" spans="2:10" ht="15.75" customHeight="1">
      <c r="B197" s="3"/>
      <c r="C197" s="3"/>
      <c r="D197" s="3"/>
      <c r="E197" s="3"/>
      <c r="F197" s="3"/>
      <c r="G197" s="3"/>
      <c r="H197" s="3"/>
      <c r="I197" s="3"/>
      <c r="J197" s="3"/>
    </row>
    <row r="198" spans="2:10" ht="15.75" customHeight="1">
      <c r="B198" s="3"/>
      <c r="C198" s="3"/>
      <c r="D198" s="3"/>
      <c r="E198" s="3"/>
      <c r="F198" s="3"/>
      <c r="G198" s="3"/>
      <c r="H198" s="3"/>
      <c r="I198" s="3"/>
      <c r="J198" s="3"/>
    </row>
    <row r="199" spans="2:10" ht="15.75" customHeight="1">
      <c r="B199" s="3"/>
      <c r="C199" s="3"/>
      <c r="D199" s="3"/>
      <c r="E199" s="3"/>
      <c r="F199" s="3"/>
      <c r="G199" s="3"/>
      <c r="H199" s="3"/>
      <c r="I199" s="3"/>
      <c r="J199" s="3"/>
    </row>
    <row r="200" spans="2:10" ht="15.75" customHeight="1">
      <c r="B200" s="3"/>
      <c r="C200" s="3"/>
      <c r="D200" s="3"/>
      <c r="E200" s="3"/>
      <c r="F200" s="3"/>
      <c r="G200" s="3"/>
      <c r="H200" s="3"/>
      <c r="I200" s="3"/>
      <c r="J200" s="3"/>
    </row>
    <row r="201" spans="2:10" ht="15.75" customHeight="1">
      <c r="B201" s="3"/>
      <c r="C201" s="3"/>
      <c r="D201" s="3"/>
      <c r="E201" s="3"/>
      <c r="F201" s="3"/>
      <c r="G201" s="3"/>
      <c r="H201" s="3"/>
      <c r="I201" s="3"/>
      <c r="J201" s="3"/>
    </row>
    <row r="202" spans="2:10" ht="15.75" customHeight="1">
      <c r="B202" s="3"/>
      <c r="C202" s="3"/>
      <c r="D202" s="3"/>
      <c r="E202" s="3"/>
      <c r="F202" s="3"/>
      <c r="G202" s="3"/>
      <c r="H202" s="3"/>
      <c r="I202" s="3"/>
      <c r="J202" s="3"/>
    </row>
    <row r="203" spans="2:10" ht="15.75" customHeight="1">
      <c r="B203" s="3"/>
      <c r="C203" s="3"/>
      <c r="D203" s="3"/>
      <c r="E203" s="3"/>
      <c r="F203" s="3"/>
      <c r="G203" s="3"/>
      <c r="H203" s="3"/>
      <c r="I203" s="3"/>
      <c r="J203" s="3"/>
    </row>
    <row r="204" spans="2:10" ht="15.75" customHeight="1">
      <c r="B204" s="3"/>
      <c r="C204" s="3"/>
      <c r="D204" s="3"/>
      <c r="E204" s="3"/>
      <c r="F204" s="3"/>
      <c r="G204" s="3"/>
      <c r="H204" s="3"/>
      <c r="I204" s="3"/>
      <c r="J204" s="3"/>
    </row>
    <row r="205" spans="2:10" ht="15.75" customHeight="1">
      <c r="B205" s="3"/>
      <c r="C205" s="3"/>
      <c r="D205" s="3"/>
      <c r="E205" s="3"/>
      <c r="F205" s="3"/>
      <c r="G205" s="3"/>
      <c r="H205" s="3"/>
      <c r="I205" s="3"/>
      <c r="J205" s="3"/>
    </row>
    <row r="206" spans="2:10" ht="15.75" customHeight="1">
      <c r="B206" s="3"/>
      <c r="C206" s="3"/>
      <c r="D206" s="3"/>
      <c r="E206" s="3"/>
      <c r="F206" s="3"/>
      <c r="G206" s="3"/>
      <c r="H206" s="3"/>
      <c r="I206" s="3"/>
      <c r="J206" s="3"/>
    </row>
    <row r="207" spans="2:10" ht="15.75" customHeight="1">
      <c r="B207" s="3"/>
      <c r="C207" s="3"/>
      <c r="D207" s="3"/>
      <c r="E207" s="3"/>
      <c r="F207" s="3"/>
      <c r="G207" s="3"/>
      <c r="H207" s="3"/>
      <c r="I207" s="3"/>
      <c r="J207" s="3"/>
    </row>
    <row r="208" spans="2:10" ht="15.75" customHeight="1">
      <c r="B208" s="3"/>
      <c r="C208" s="3"/>
      <c r="D208" s="3"/>
      <c r="E208" s="3"/>
      <c r="F208" s="3"/>
      <c r="G208" s="3"/>
      <c r="H208" s="3"/>
      <c r="I208" s="3"/>
      <c r="J208" s="3"/>
    </row>
    <row r="209" spans="2:10" ht="15.75" customHeight="1">
      <c r="B209" s="3"/>
      <c r="C209" s="3"/>
      <c r="D209" s="3"/>
      <c r="E209" s="3"/>
      <c r="F209" s="3"/>
      <c r="G209" s="3"/>
      <c r="H209" s="3"/>
      <c r="I209" s="3"/>
      <c r="J209" s="3"/>
    </row>
    <row r="210" spans="2:10" ht="15.75" customHeight="1">
      <c r="B210" s="3"/>
      <c r="C210" s="3"/>
      <c r="D210" s="3"/>
      <c r="E210" s="3"/>
      <c r="F210" s="3"/>
      <c r="G210" s="3"/>
      <c r="H210" s="3"/>
      <c r="I210" s="3"/>
      <c r="J210" s="3"/>
    </row>
    <row r="211" spans="2:10" ht="15.75" customHeight="1">
      <c r="B211" s="3"/>
      <c r="C211" s="3"/>
      <c r="D211" s="3"/>
      <c r="E211" s="3"/>
      <c r="F211" s="3"/>
      <c r="G211" s="3"/>
      <c r="H211" s="3"/>
      <c r="I211" s="3"/>
      <c r="J211" s="3"/>
    </row>
    <row r="212" spans="2:10" ht="15.75" customHeight="1">
      <c r="B212" s="3"/>
      <c r="C212" s="3"/>
      <c r="D212" s="3"/>
      <c r="E212" s="3"/>
      <c r="F212" s="3"/>
      <c r="G212" s="3"/>
      <c r="H212" s="3"/>
      <c r="I212" s="3"/>
      <c r="J212" s="3"/>
    </row>
    <row r="213" spans="2:10" ht="15.75" customHeight="1">
      <c r="B213" s="3"/>
      <c r="C213" s="3"/>
      <c r="D213" s="3"/>
      <c r="E213" s="3"/>
      <c r="F213" s="3"/>
      <c r="G213" s="3"/>
      <c r="H213" s="3"/>
      <c r="I213" s="3"/>
      <c r="J213" s="3"/>
    </row>
    <row r="214" spans="2:10" ht="15.75" customHeight="1">
      <c r="B214" s="3"/>
      <c r="C214" s="3"/>
      <c r="D214" s="3"/>
      <c r="E214" s="3"/>
      <c r="F214" s="3"/>
      <c r="G214" s="3"/>
      <c r="H214" s="3"/>
      <c r="I214" s="3"/>
      <c r="J214" s="3"/>
    </row>
    <row r="215" spans="2:10" ht="15.75" customHeight="1">
      <c r="B215" s="3"/>
      <c r="C215" s="3"/>
      <c r="D215" s="3"/>
      <c r="E215" s="3"/>
      <c r="F215" s="3"/>
      <c r="G215" s="3"/>
      <c r="H215" s="3"/>
      <c r="I215" s="3"/>
      <c r="J215" s="3"/>
    </row>
    <row r="216" spans="2:10" ht="15.75" customHeight="1">
      <c r="B216" s="3"/>
      <c r="C216" s="3"/>
      <c r="D216" s="3"/>
      <c r="E216" s="3"/>
      <c r="F216" s="3"/>
      <c r="G216" s="3"/>
      <c r="H216" s="3"/>
      <c r="I216" s="3"/>
      <c r="J216" s="3"/>
    </row>
    <row r="217" spans="2:10" ht="15.75" customHeight="1">
      <c r="B217" s="3"/>
      <c r="C217" s="3"/>
      <c r="D217" s="3"/>
      <c r="E217" s="3"/>
      <c r="F217" s="3"/>
      <c r="G217" s="3"/>
      <c r="H217" s="3"/>
      <c r="I217" s="3"/>
      <c r="J217" s="3"/>
    </row>
    <row r="218" spans="2:10" ht="15.75" customHeight="1">
      <c r="B218" s="3"/>
      <c r="C218" s="3"/>
      <c r="D218" s="3"/>
      <c r="E218" s="3"/>
      <c r="F218" s="3"/>
      <c r="G218" s="3"/>
      <c r="H218" s="3"/>
      <c r="I218" s="3"/>
      <c r="J218" s="3"/>
    </row>
    <row r="219" spans="2:10" ht="15.75" customHeight="1">
      <c r="B219" s="3"/>
      <c r="C219" s="3"/>
      <c r="D219" s="3"/>
      <c r="E219" s="3"/>
      <c r="F219" s="3"/>
      <c r="G219" s="3"/>
      <c r="H219" s="3"/>
      <c r="I219" s="3"/>
      <c r="J219" s="3"/>
    </row>
    <row r="220" spans="2:10" ht="15.75" customHeight="1">
      <c r="B220" s="3"/>
      <c r="C220" s="3"/>
      <c r="D220" s="3"/>
      <c r="E220" s="3"/>
      <c r="F220" s="3"/>
      <c r="G220" s="3"/>
      <c r="H220" s="3"/>
      <c r="I220" s="3"/>
      <c r="J220" s="3"/>
    </row>
    <row r="221" spans="2:10" ht="15.75" customHeight="1">
      <c r="B221" s="3"/>
      <c r="C221" s="3"/>
      <c r="D221" s="3"/>
      <c r="E221" s="3"/>
      <c r="F221" s="3"/>
      <c r="G221" s="3"/>
      <c r="H221" s="3"/>
      <c r="I221" s="3"/>
      <c r="J221" s="3"/>
    </row>
    <row r="222" spans="2:10" ht="15.75" customHeight="1">
      <c r="B222" s="3"/>
      <c r="C222" s="3"/>
      <c r="D222" s="3"/>
      <c r="E222" s="3"/>
      <c r="F222" s="3"/>
      <c r="G222" s="3"/>
      <c r="H222" s="3"/>
      <c r="I222" s="3"/>
      <c r="J222" s="3"/>
    </row>
    <row r="223" spans="2:10" ht="15.75" customHeight="1">
      <c r="B223" s="3"/>
      <c r="C223" s="3"/>
      <c r="D223" s="3"/>
      <c r="E223" s="3"/>
      <c r="F223" s="3"/>
      <c r="G223" s="3"/>
      <c r="H223" s="3"/>
      <c r="I223" s="3"/>
      <c r="J223" s="3"/>
    </row>
    <row r="224" spans="2:10" ht="15.75" customHeight="1">
      <c r="B224" s="3"/>
      <c r="C224" s="3"/>
      <c r="D224" s="3"/>
      <c r="E224" s="3"/>
      <c r="F224" s="3"/>
      <c r="G224" s="3"/>
      <c r="H224" s="3"/>
      <c r="I224" s="3"/>
      <c r="J224" s="3"/>
    </row>
    <row r="225" spans="2:10" ht="15.75" customHeight="1">
      <c r="B225" s="3"/>
      <c r="C225" s="3"/>
      <c r="D225" s="3"/>
      <c r="E225" s="3"/>
      <c r="F225" s="3"/>
      <c r="G225" s="3"/>
      <c r="H225" s="3"/>
      <c r="I225" s="3"/>
      <c r="J225" s="3"/>
    </row>
    <row r="226" spans="2:10" ht="15.75" customHeight="1">
      <c r="B226" s="3"/>
      <c r="C226" s="3"/>
      <c r="D226" s="3"/>
      <c r="E226" s="3"/>
      <c r="F226" s="3"/>
      <c r="G226" s="3"/>
      <c r="H226" s="3"/>
      <c r="I226" s="3"/>
      <c r="J226" s="3"/>
    </row>
    <row r="227" spans="2:10" ht="15.75" customHeight="1">
      <c r="B227" s="3"/>
      <c r="C227" s="3"/>
      <c r="D227" s="3"/>
      <c r="E227" s="3"/>
      <c r="F227" s="3"/>
      <c r="G227" s="3"/>
      <c r="H227" s="3"/>
      <c r="I227" s="3"/>
      <c r="J227" s="3"/>
    </row>
    <row r="228" spans="2:10" ht="15.75" customHeight="1">
      <c r="B228" s="3"/>
      <c r="C228" s="3"/>
      <c r="D228" s="3"/>
      <c r="E228" s="3"/>
      <c r="F228" s="3"/>
      <c r="G228" s="3"/>
      <c r="H228" s="3"/>
      <c r="I228" s="3"/>
      <c r="J228" s="3"/>
    </row>
    <row r="229" spans="2:10" ht="15.75" customHeight="1">
      <c r="B229" s="3"/>
      <c r="C229" s="3"/>
      <c r="D229" s="3"/>
      <c r="E229" s="3"/>
      <c r="F229" s="3"/>
      <c r="G229" s="3"/>
      <c r="H229" s="3"/>
      <c r="I229" s="3"/>
      <c r="J229" s="3"/>
    </row>
    <row r="230" spans="2:10" ht="15.75" customHeight="1">
      <c r="B230" s="3"/>
      <c r="C230" s="3"/>
      <c r="D230" s="3"/>
      <c r="E230" s="3"/>
      <c r="F230" s="3"/>
      <c r="G230" s="3"/>
      <c r="H230" s="3"/>
      <c r="I230" s="3"/>
      <c r="J230" s="3"/>
    </row>
    <row r="231" spans="2:10" ht="15.75" customHeight="1">
      <c r="B231" s="3"/>
      <c r="C231" s="3"/>
      <c r="D231" s="3"/>
      <c r="E231" s="3"/>
      <c r="F231" s="3"/>
      <c r="G231" s="3"/>
      <c r="H231" s="3"/>
      <c r="I231" s="3"/>
      <c r="J231" s="3"/>
    </row>
    <row r="232" spans="2:10" ht="15.75" customHeight="1">
      <c r="B232" s="3"/>
      <c r="C232" s="3"/>
      <c r="D232" s="3"/>
      <c r="E232" s="3"/>
      <c r="F232" s="3"/>
      <c r="G232" s="3"/>
      <c r="H232" s="3"/>
      <c r="I232" s="3"/>
      <c r="J232" s="3"/>
    </row>
    <row r="233" spans="2:10" ht="15.75" customHeight="1">
      <c r="B233" s="3"/>
      <c r="C233" s="3"/>
      <c r="D233" s="3"/>
      <c r="E233" s="3"/>
      <c r="F233" s="3"/>
      <c r="G233" s="3"/>
      <c r="H233" s="3"/>
      <c r="I233" s="3"/>
      <c r="J233" s="3"/>
    </row>
    <row r="234" spans="2:10" ht="15.75" customHeight="1">
      <c r="B234" s="3"/>
      <c r="C234" s="3"/>
      <c r="D234" s="3"/>
      <c r="E234" s="3"/>
      <c r="F234" s="3"/>
      <c r="G234" s="3"/>
      <c r="H234" s="3"/>
      <c r="I234" s="3"/>
      <c r="J234" s="3"/>
    </row>
    <row r="235" spans="2:10" ht="15.75" customHeight="1">
      <c r="B235" s="3"/>
      <c r="C235" s="3"/>
      <c r="D235" s="3"/>
      <c r="E235" s="3"/>
      <c r="F235" s="3"/>
      <c r="G235" s="3"/>
      <c r="H235" s="3"/>
      <c r="I235" s="3"/>
      <c r="J235" s="3"/>
    </row>
    <row r="236" spans="2:10" ht="15.75" customHeight="1">
      <c r="B236" s="3"/>
      <c r="C236" s="3"/>
      <c r="D236" s="3"/>
      <c r="E236" s="3"/>
      <c r="F236" s="3"/>
      <c r="G236" s="3"/>
      <c r="H236" s="3"/>
      <c r="I236" s="3"/>
      <c r="J236" s="3"/>
    </row>
    <row r="237" spans="2:10" ht="15.75" customHeight="1">
      <c r="B237" s="3"/>
      <c r="C237" s="3"/>
      <c r="D237" s="3"/>
      <c r="E237" s="3"/>
      <c r="F237" s="3"/>
      <c r="G237" s="3"/>
      <c r="H237" s="3"/>
      <c r="I237" s="3"/>
      <c r="J237" s="3"/>
    </row>
    <row r="238" spans="2:10" ht="15.75" customHeight="1">
      <c r="B238" s="3"/>
      <c r="C238" s="3"/>
      <c r="D238" s="3"/>
      <c r="E238" s="3"/>
      <c r="F238" s="3"/>
      <c r="G238" s="3"/>
      <c r="H238" s="3"/>
      <c r="I238" s="3"/>
      <c r="J238" s="3"/>
    </row>
    <row r="239" spans="2:10" ht="15.75" customHeight="1">
      <c r="B239" s="3"/>
      <c r="C239" s="3"/>
      <c r="D239" s="3"/>
      <c r="E239" s="3"/>
      <c r="F239" s="3"/>
      <c r="G239" s="3"/>
      <c r="H239" s="3"/>
      <c r="I239" s="3"/>
      <c r="J239" s="3"/>
    </row>
    <row r="240" spans="2:10" ht="15.75" customHeight="1">
      <c r="B240" s="3"/>
      <c r="C240" s="3"/>
      <c r="D240" s="3"/>
      <c r="E240" s="3"/>
      <c r="F240" s="3"/>
      <c r="G240" s="3"/>
      <c r="H240" s="3"/>
      <c r="I240" s="3"/>
      <c r="J240" s="3"/>
    </row>
    <row r="241" spans="2:10" ht="15.75" customHeight="1">
      <c r="B241" s="3"/>
      <c r="C241" s="3"/>
      <c r="D241" s="3"/>
      <c r="E241" s="3"/>
      <c r="F241" s="3"/>
      <c r="G241" s="3"/>
      <c r="H241" s="3"/>
      <c r="I241" s="3"/>
      <c r="J241" s="3"/>
    </row>
    <row r="242" spans="2:10" ht="15.75" customHeight="1">
      <c r="B242" s="3"/>
      <c r="C242" s="3"/>
      <c r="D242" s="3"/>
      <c r="E242" s="3"/>
      <c r="F242" s="3"/>
      <c r="G242" s="3"/>
      <c r="H242" s="3"/>
      <c r="I242" s="3"/>
      <c r="J242" s="3"/>
    </row>
    <row r="243" spans="2:10" ht="15.75" customHeight="1">
      <c r="B243" s="3"/>
      <c r="C243" s="3"/>
      <c r="D243" s="3"/>
      <c r="E243" s="3"/>
      <c r="F243" s="3"/>
      <c r="G243" s="3"/>
      <c r="H243" s="3"/>
      <c r="I243" s="3"/>
      <c r="J243" s="3"/>
    </row>
    <row r="244" spans="2:10" ht="15.75" customHeight="1">
      <c r="B244" s="3"/>
      <c r="C244" s="3"/>
      <c r="D244" s="3"/>
      <c r="E244" s="3"/>
      <c r="F244" s="3"/>
      <c r="G244" s="3"/>
      <c r="H244" s="3"/>
      <c r="I244" s="3"/>
      <c r="J244" s="3"/>
    </row>
    <row r="245" spans="2:10" ht="15.75" customHeight="1">
      <c r="B245" s="3"/>
      <c r="C245" s="3"/>
      <c r="D245" s="3"/>
      <c r="E245" s="3"/>
      <c r="F245" s="3"/>
      <c r="G245" s="3"/>
      <c r="H245" s="3"/>
      <c r="I245" s="3"/>
      <c r="J245" s="3"/>
    </row>
    <row r="246" spans="2:10" ht="15.75" customHeight="1">
      <c r="B246" s="3"/>
      <c r="C246" s="3"/>
      <c r="D246" s="3"/>
      <c r="E246" s="3"/>
      <c r="F246" s="3"/>
      <c r="G246" s="3"/>
      <c r="H246" s="3"/>
      <c r="I246" s="3"/>
      <c r="J246" s="3"/>
    </row>
    <row r="247" spans="2:10" ht="15.75" customHeight="1">
      <c r="B247" s="3"/>
      <c r="C247" s="3"/>
      <c r="D247" s="3"/>
      <c r="E247" s="3"/>
      <c r="F247" s="3"/>
      <c r="G247" s="3"/>
      <c r="H247" s="3"/>
      <c r="I247" s="3"/>
      <c r="J247" s="3"/>
    </row>
    <row r="248" spans="2:10" ht="15.75" customHeight="1">
      <c r="B248" s="3"/>
      <c r="C248" s="3"/>
      <c r="D248" s="3"/>
      <c r="E248" s="3"/>
      <c r="F248" s="3"/>
      <c r="G248" s="3"/>
      <c r="H248" s="3"/>
      <c r="I248" s="3"/>
      <c r="J248" s="3"/>
    </row>
    <row r="249" spans="2:10" ht="15.75" customHeight="1">
      <c r="B249" s="3"/>
      <c r="C249" s="3"/>
      <c r="D249" s="3"/>
      <c r="E249" s="3"/>
      <c r="F249" s="3"/>
      <c r="G249" s="3"/>
      <c r="H249" s="3"/>
      <c r="I249" s="3"/>
      <c r="J249" s="3"/>
    </row>
    <row r="250" spans="2:10" ht="15.75" customHeight="1">
      <c r="B250" s="3"/>
      <c r="C250" s="3"/>
      <c r="D250" s="3"/>
      <c r="E250" s="3"/>
      <c r="F250" s="3"/>
      <c r="G250" s="3"/>
      <c r="H250" s="3"/>
      <c r="I250" s="3"/>
      <c r="J250" s="3"/>
    </row>
    <row r="251" spans="2:10" ht="15.75" customHeight="1">
      <c r="B251" s="3"/>
      <c r="C251" s="3"/>
      <c r="D251" s="3"/>
      <c r="E251" s="3"/>
      <c r="F251" s="3"/>
      <c r="G251" s="3"/>
      <c r="H251" s="3"/>
      <c r="I251" s="3"/>
      <c r="J251" s="3"/>
    </row>
    <row r="252" spans="2:10" ht="15.75" customHeight="1">
      <c r="B252" s="3"/>
      <c r="C252" s="3"/>
      <c r="D252" s="3"/>
      <c r="E252" s="3"/>
      <c r="F252" s="3"/>
      <c r="G252" s="3"/>
      <c r="H252" s="3"/>
      <c r="I252" s="3"/>
      <c r="J252" s="3"/>
    </row>
    <row r="253" spans="2:10" ht="15.75" customHeight="1">
      <c r="B253" s="3"/>
      <c r="C253" s="3"/>
      <c r="D253" s="3"/>
      <c r="E253" s="3"/>
      <c r="F253" s="3"/>
      <c r="G253" s="3"/>
      <c r="H253" s="3"/>
      <c r="I253" s="3"/>
      <c r="J253" s="3"/>
    </row>
    <row r="254" spans="2:10" ht="15.75" customHeight="1">
      <c r="B254" s="3"/>
      <c r="C254" s="3"/>
      <c r="D254" s="3"/>
      <c r="E254" s="3"/>
      <c r="F254" s="3"/>
      <c r="G254" s="3"/>
      <c r="H254" s="3"/>
      <c r="I254" s="3"/>
      <c r="J254" s="3"/>
    </row>
    <row r="255" spans="2:10" ht="15.75" customHeight="1">
      <c r="B255" s="3"/>
      <c r="C255" s="3"/>
      <c r="D255" s="3"/>
      <c r="E255" s="3"/>
      <c r="F255" s="3"/>
      <c r="G255" s="3"/>
      <c r="H255" s="3"/>
      <c r="I255" s="3"/>
      <c r="J255" s="3"/>
    </row>
    <row r="256" spans="2:10" ht="15.75" customHeight="1">
      <c r="B256" s="3"/>
      <c r="C256" s="3"/>
      <c r="D256" s="3"/>
      <c r="E256" s="3"/>
      <c r="F256" s="3"/>
      <c r="G256" s="3"/>
      <c r="H256" s="3"/>
      <c r="I256" s="3"/>
      <c r="J256" s="3"/>
    </row>
    <row r="257" spans="2:10" ht="15.75" customHeight="1">
      <c r="B257" s="3"/>
      <c r="C257" s="3"/>
      <c r="D257" s="3"/>
      <c r="E257" s="3"/>
      <c r="F257" s="3"/>
      <c r="G257" s="3"/>
      <c r="H257" s="3"/>
      <c r="I257" s="3"/>
      <c r="J257" s="3"/>
    </row>
    <row r="258" spans="2:10" ht="15.75" customHeight="1">
      <c r="B258" s="3"/>
      <c r="C258" s="3"/>
      <c r="D258" s="3"/>
      <c r="E258" s="3"/>
      <c r="F258" s="3"/>
      <c r="G258" s="3"/>
      <c r="H258" s="3"/>
      <c r="I258" s="3"/>
      <c r="J258" s="3"/>
    </row>
    <row r="259" spans="2:10" ht="15.75" customHeight="1">
      <c r="B259" s="3"/>
      <c r="C259" s="3"/>
      <c r="D259" s="3"/>
      <c r="E259" s="3"/>
      <c r="F259" s="3"/>
      <c r="G259" s="3"/>
      <c r="H259" s="3"/>
      <c r="I259" s="3"/>
      <c r="J259" s="3"/>
    </row>
    <row r="260" spans="2:10" ht="15.75" customHeight="1">
      <c r="B260" s="3"/>
      <c r="C260" s="3"/>
      <c r="D260" s="3"/>
      <c r="E260" s="3"/>
      <c r="F260" s="3"/>
      <c r="G260" s="3"/>
      <c r="H260" s="3"/>
      <c r="I260" s="3"/>
      <c r="J260" s="3"/>
    </row>
    <row r="261" spans="2:10" ht="15.75" customHeight="1">
      <c r="B261" s="3"/>
      <c r="C261" s="3"/>
      <c r="D261" s="3"/>
      <c r="E261" s="3"/>
      <c r="F261" s="3"/>
      <c r="G261" s="3"/>
      <c r="H261" s="3"/>
      <c r="I261" s="3"/>
      <c r="J261" s="3"/>
    </row>
    <row r="262" spans="2:10" ht="15.75" customHeight="1">
      <c r="B262" s="3"/>
      <c r="C262" s="3"/>
      <c r="D262" s="3"/>
      <c r="E262" s="3"/>
      <c r="F262" s="3"/>
      <c r="G262" s="3"/>
      <c r="H262" s="3"/>
      <c r="I262" s="3"/>
      <c r="J262" s="3"/>
    </row>
    <row r="263" spans="2:10" ht="15.75" customHeight="1">
      <c r="B263" s="3"/>
      <c r="C263" s="3"/>
      <c r="D263" s="3"/>
      <c r="E263" s="3"/>
      <c r="F263" s="3"/>
      <c r="G263" s="3"/>
      <c r="H263" s="3"/>
      <c r="I263" s="3"/>
      <c r="J263" s="3"/>
    </row>
    <row r="264" spans="2:10" ht="15.75" customHeight="1">
      <c r="B264" s="3"/>
      <c r="C264" s="3"/>
      <c r="D264" s="3"/>
      <c r="E264" s="3"/>
      <c r="F264" s="3"/>
      <c r="G264" s="3"/>
      <c r="H264" s="3"/>
      <c r="I264" s="3"/>
      <c r="J264" s="3"/>
    </row>
    <row r="265" spans="2:10" ht="15.75" customHeight="1">
      <c r="B265" s="3"/>
      <c r="C265" s="3"/>
      <c r="D265" s="3"/>
      <c r="E265" s="3"/>
      <c r="F265" s="3"/>
      <c r="G265" s="3"/>
      <c r="H265" s="3"/>
      <c r="I265" s="3"/>
      <c r="J265" s="3"/>
    </row>
    <row r="266" spans="2:10" ht="15.75" customHeight="1">
      <c r="B266" s="3"/>
      <c r="C266" s="3"/>
      <c r="D266" s="3"/>
      <c r="E266" s="3"/>
      <c r="F266" s="3"/>
      <c r="G266" s="3"/>
      <c r="H266" s="3"/>
      <c r="I266" s="3"/>
      <c r="J266" s="3"/>
    </row>
    <row r="267" spans="2:10" ht="15.75" customHeight="1">
      <c r="B267" s="3"/>
      <c r="C267" s="3"/>
      <c r="D267" s="3"/>
      <c r="E267" s="3"/>
      <c r="F267" s="3"/>
      <c r="G267" s="3"/>
      <c r="H267" s="3"/>
      <c r="I267" s="3"/>
      <c r="J267" s="3"/>
    </row>
    <row r="268" spans="2:10" ht="15.75" customHeight="1">
      <c r="B268" s="3"/>
      <c r="C268" s="3"/>
      <c r="D268" s="3"/>
      <c r="E268" s="3"/>
      <c r="F268" s="3"/>
      <c r="G268" s="3"/>
      <c r="H268" s="3"/>
      <c r="I268" s="3"/>
      <c r="J268" s="3"/>
    </row>
    <row r="269" spans="2:10" ht="15.75" customHeight="1">
      <c r="B269" s="3"/>
      <c r="C269" s="3"/>
      <c r="D269" s="3"/>
      <c r="E269" s="3"/>
      <c r="F269" s="3"/>
      <c r="G269" s="3"/>
      <c r="H269" s="3"/>
      <c r="I269" s="3"/>
      <c r="J269" s="3"/>
    </row>
    <row r="270" spans="2:10" ht="15.75" customHeight="1">
      <c r="B270" s="3"/>
      <c r="C270" s="3"/>
      <c r="D270" s="3"/>
      <c r="E270" s="3"/>
      <c r="F270" s="3"/>
      <c r="G270" s="3"/>
      <c r="H270" s="3"/>
      <c r="I270" s="3"/>
      <c r="J270" s="3"/>
    </row>
    <row r="271" spans="2:10" ht="15.75" customHeight="1">
      <c r="B271" s="3"/>
      <c r="C271" s="3"/>
      <c r="D271" s="3"/>
      <c r="E271" s="3"/>
      <c r="F271" s="3"/>
      <c r="G271" s="3"/>
      <c r="H271" s="3"/>
      <c r="I271" s="3"/>
      <c r="J271" s="3"/>
    </row>
    <row r="272" spans="2:10" ht="15.75" customHeight="1">
      <c r="B272" s="3"/>
      <c r="C272" s="3"/>
      <c r="D272" s="3"/>
      <c r="E272" s="3"/>
      <c r="F272" s="3"/>
      <c r="G272" s="3"/>
      <c r="H272" s="3"/>
      <c r="I272" s="3"/>
      <c r="J272" s="3"/>
    </row>
    <row r="273" spans="2:10" ht="15.75" customHeight="1">
      <c r="B273" s="3"/>
      <c r="C273" s="3"/>
      <c r="D273" s="3"/>
      <c r="E273" s="3"/>
      <c r="F273" s="3"/>
      <c r="G273" s="3"/>
      <c r="H273" s="3"/>
      <c r="I273" s="3"/>
      <c r="J273" s="3"/>
    </row>
    <row r="274" spans="2:10" ht="15.75" customHeight="1">
      <c r="B274" s="3"/>
      <c r="C274" s="3"/>
      <c r="D274" s="3"/>
      <c r="E274" s="3"/>
      <c r="F274" s="3"/>
      <c r="G274" s="3"/>
      <c r="H274" s="3"/>
      <c r="I274" s="3"/>
      <c r="J274" s="3"/>
    </row>
    <row r="275" spans="2:10" ht="15.75" customHeight="1">
      <c r="B275" s="3"/>
      <c r="C275" s="3"/>
      <c r="D275" s="3"/>
      <c r="E275" s="3"/>
      <c r="F275" s="3"/>
      <c r="G275" s="3"/>
      <c r="H275" s="3"/>
      <c r="I275" s="3"/>
      <c r="J275" s="3"/>
    </row>
    <row r="276" spans="2:10" ht="15.75" customHeight="1">
      <c r="B276" s="3"/>
      <c r="C276" s="3"/>
      <c r="D276" s="3"/>
      <c r="E276" s="3"/>
      <c r="F276" s="3"/>
      <c r="G276" s="3"/>
      <c r="H276" s="3"/>
      <c r="I276" s="3"/>
      <c r="J276" s="3"/>
    </row>
    <row r="277" spans="2:10" ht="15.75" customHeight="1">
      <c r="B277" s="3"/>
      <c r="C277" s="3"/>
      <c r="D277" s="3"/>
      <c r="E277" s="3"/>
      <c r="F277" s="3"/>
      <c r="G277" s="3"/>
      <c r="H277" s="3"/>
      <c r="I277" s="3"/>
      <c r="J277" s="3"/>
    </row>
    <row r="278" spans="2:10" ht="15.75" customHeight="1">
      <c r="B278" s="3"/>
      <c r="C278" s="3"/>
      <c r="D278" s="3"/>
      <c r="E278" s="3"/>
      <c r="F278" s="3"/>
      <c r="G278" s="3"/>
      <c r="H278" s="3"/>
      <c r="I278" s="3"/>
      <c r="J278" s="3"/>
    </row>
    <row r="279" spans="2:10" ht="15.75" customHeight="1">
      <c r="B279" s="3"/>
      <c r="C279" s="3"/>
      <c r="D279" s="3"/>
      <c r="E279" s="3"/>
      <c r="F279" s="3"/>
      <c r="G279" s="3"/>
      <c r="H279" s="3"/>
      <c r="I279" s="3"/>
      <c r="J279" s="3"/>
    </row>
    <row r="280" spans="2:10" ht="15.75" customHeight="1">
      <c r="B280" s="3"/>
      <c r="C280" s="3"/>
      <c r="D280" s="3"/>
      <c r="E280" s="3"/>
      <c r="F280" s="3"/>
      <c r="G280" s="3"/>
      <c r="H280" s="3"/>
      <c r="I280" s="3"/>
      <c r="J280" s="3"/>
    </row>
    <row r="281" spans="2:10" ht="15.75" customHeight="1">
      <c r="B281" s="3"/>
      <c r="C281" s="3"/>
      <c r="D281" s="3"/>
      <c r="E281" s="3"/>
      <c r="F281" s="3"/>
      <c r="G281" s="3"/>
      <c r="H281" s="3"/>
      <c r="I281" s="3"/>
      <c r="J281" s="3"/>
    </row>
    <row r="282" spans="2:10" ht="15.75" customHeight="1">
      <c r="B282" s="3"/>
      <c r="C282" s="3"/>
      <c r="D282" s="3"/>
      <c r="E282" s="3"/>
      <c r="F282" s="3"/>
      <c r="G282" s="3"/>
      <c r="H282" s="3"/>
      <c r="I282" s="3"/>
      <c r="J282" s="3"/>
    </row>
    <row r="283" spans="2:10" ht="15.75" customHeight="1">
      <c r="B283" s="3"/>
      <c r="C283" s="3"/>
      <c r="D283" s="3"/>
      <c r="E283" s="3"/>
      <c r="F283" s="3"/>
      <c r="G283" s="3"/>
      <c r="H283" s="3"/>
      <c r="I283" s="3"/>
      <c r="J283" s="3"/>
    </row>
    <row r="284" spans="2:10" ht="15.75" customHeight="1">
      <c r="B284" s="3"/>
      <c r="C284" s="3"/>
      <c r="D284" s="3"/>
      <c r="E284" s="3"/>
      <c r="F284" s="3"/>
      <c r="G284" s="3"/>
      <c r="H284" s="3"/>
      <c r="I284" s="3"/>
      <c r="J284" s="3"/>
    </row>
    <row r="285" spans="2:10" ht="15.75" customHeight="1">
      <c r="B285" s="3"/>
      <c r="C285" s="3"/>
      <c r="D285" s="3"/>
      <c r="E285" s="3"/>
      <c r="F285" s="3"/>
      <c r="G285" s="3"/>
      <c r="H285" s="3"/>
      <c r="I285" s="3"/>
      <c r="J285" s="3"/>
    </row>
    <row r="286" spans="2:10" ht="15.75" customHeight="1">
      <c r="B286" s="3"/>
      <c r="C286" s="3"/>
      <c r="D286" s="3"/>
      <c r="E286" s="3"/>
      <c r="F286" s="3"/>
      <c r="G286" s="3"/>
      <c r="H286" s="3"/>
      <c r="I286" s="3"/>
      <c r="J286" s="3"/>
    </row>
    <row r="287" spans="2:10" ht="15.75" customHeight="1">
      <c r="B287" s="3"/>
      <c r="C287" s="3"/>
      <c r="D287" s="3"/>
      <c r="E287" s="3"/>
      <c r="F287" s="3"/>
      <c r="G287" s="3"/>
      <c r="H287" s="3"/>
      <c r="I287" s="3"/>
      <c r="J287" s="3"/>
    </row>
    <row r="288" spans="2:10" ht="15.75" customHeight="1">
      <c r="B288" s="3"/>
      <c r="C288" s="3"/>
      <c r="D288" s="3"/>
      <c r="E288" s="3"/>
      <c r="F288" s="3"/>
      <c r="G288" s="3"/>
      <c r="H288" s="3"/>
      <c r="I288" s="3"/>
      <c r="J288" s="3"/>
    </row>
    <row r="289" spans="2:10" ht="15.75" customHeight="1">
      <c r="B289" s="3"/>
      <c r="C289" s="3"/>
      <c r="D289" s="3"/>
      <c r="E289" s="3"/>
      <c r="F289" s="3"/>
      <c r="G289" s="3"/>
      <c r="H289" s="3"/>
      <c r="I289" s="3"/>
      <c r="J289" s="3"/>
    </row>
    <row r="290" spans="2:10" ht="15.75" customHeight="1">
      <c r="B290" s="3"/>
      <c r="C290" s="3"/>
      <c r="D290" s="3"/>
      <c r="E290" s="3"/>
      <c r="F290" s="3"/>
      <c r="G290" s="3"/>
      <c r="H290" s="3"/>
      <c r="I290" s="3"/>
      <c r="J290" s="3"/>
    </row>
    <row r="291" spans="2:10" ht="15.75" customHeight="1">
      <c r="B291" s="3"/>
      <c r="C291" s="3"/>
      <c r="D291" s="3"/>
      <c r="E291" s="3"/>
      <c r="F291" s="3"/>
      <c r="G291" s="3"/>
      <c r="H291" s="3"/>
      <c r="I291" s="3"/>
      <c r="J291" s="3"/>
    </row>
    <row r="292" spans="2:10" ht="15.75" customHeight="1">
      <c r="B292" s="3"/>
      <c r="C292" s="3"/>
      <c r="D292" s="3"/>
      <c r="E292" s="3"/>
      <c r="F292" s="3"/>
      <c r="G292" s="3"/>
      <c r="H292" s="3"/>
      <c r="I292" s="3"/>
      <c r="J292" s="3"/>
    </row>
    <row r="293" spans="2:10" ht="15.75" customHeight="1">
      <c r="B293" s="3"/>
      <c r="C293" s="3"/>
      <c r="D293" s="3"/>
      <c r="E293" s="3"/>
      <c r="F293" s="3"/>
      <c r="G293" s="3"/>
      <c r="H293" s="3"/>
      <c r="I293" s="3"/>
      <c r="J293" s="3"/>
    </row>
    <row r="294" spans="2:10" ht="15.75" customHeight="1">
      <c r="B294" s="3"/>
      <c r="C294" s="3"/>
      <c r="D294" s="3"/>
      <c r="E294" s="3"/>
      <c r="F294" s="3"/>
      <c r="G294" s="3"/>
      <c r="H294" s="3"/>
      <c r="I294" s="3"/>
      <c r="J294" s="3"/>
    </row>
    <row r="295" spans="2:10" ht="15.75" customHeight="1">
      <c r="B295" s="3"/>
      <c r="C295" s="3"/>
      <c r="D295" s="3"/>
      <c r="E295" s="3"/>
      <c r="F295" s="3"/>
      <c r="G295" s="3"/>
      <c r="H295" s="3"/>
      <c r="I295" s="3"/>
      <c r="J295" s="3"/>
    </row>
    <row r="296" spans="2:10" ht="15.75" customHeight="1">
      <c r="B296" s="3"/>
      <c r="C296" s="3"/>
      <c r="D296" s="3"/>
      <c r="E296" s="3"/>
      <c r="F296" s="3"/>
      <c r="G296" s="3"/>
      <c r="H296" s="3"/>
      <c r="I296" s="3"/>
      <c r="J296" s="3"/>
    </row>
    <row r="297" spans="2:10" ht="15.75" customHeight="1">
      <c r="B297" s="3"/>
      <c r="C297" s="3"/>
      <c r="D297" s="3"/>
      <c r="E297" s="3"/>
      <c r="F297" s="3"/>
      <c r="G297" s="3"/>
      <c r="H297" s="3"/>
      <c r="I297" s="3"/>
      <c r="J297" s="3"/>
    </row>
    <row r="298" spans="2:10" ht="15.75" customHeight="1">
      <c r="B298" s="3"/>
      <c r="C298" s="3"/>
      <c r="D298" s="3"/>
      <c r="E298" s="3"/>
      <c r="F298" s="3"/>
      <c r="G298" s="3"/>
      <c r="H298" s="3"/>
      <c r="I298" s="3"/>
      <c r="J298" s="3"/>
    </row>
    <row r="299" spans="2:10" ht="15.75" customHeight="1">
      <c r="B299" s="3"/>
      <c r="C299" s="3"/>
      <c r="D299" s="3"/>
      <c r="E299" s="3"/>
      <c r="F299" s="3"/>
      <c r="G299" s="3"/>
      <c r="H299" s="3"/>
      <c r="I299" s="3"/>
      <c r="J299" s="3"/>
    </row>
    <row r="300" spans="2:10" ht="15.75" customHeight="1">
      <c r="B300" s="3"/>
      <c r="C300" s="3"/>
      <c r="D300" s="3"/>
      <c r="E300" s="3"/>
      <c r="F300" s="3"/>
      <c r="G300" s="3"/>
      <c r="H300" s="3"/>
      <c r="I300" s="3"/>
      <c r="J300" s="3"/>
    </row>
    <row r="301" spans="2:10" ht="15.75" customHeight="1">
      <c r="B301" s="3"/>
      <c r="C301" s="3"/>
      <c r="D301" s="3"/>
      <c r="E301" s="3"/>
      <c r="F301" s="3"/>
      <c r="G301" s="3"/>
      <c r="H301" s="3"/>
      <c r="I301" s="3"/>
      <c r="J301" s="3"/>
    </row>
    <row r="302" spans="2:10" ht="15.75" customHeight="1">
      <c r="B302" s="3"/>
      <c r="C302" s="3"/>
      <c r="D302" s="3"/>
      <c r="E302" s="3"/>
      <c r="F302" s="3"/>
      <c r="G302" s="3"/>
      <c r="H302" s="3"/>
      <c r="I302" s="3"/>
      <c r="J302" s="3"/>
    </row>
    <row r="303" spans="2:10" ht="15.75" customHeight="1">
      <c r="B303" s="3"/>
      <c r="C303" s="3"/>
      <c r="D303" s="3"/>
      <c r="E303" s="3"/>
      <c r="F303" s="3"/>
      <c r="G303" s="3"/>
      <c r="H303" s="3"/>
      <c r="I303" s="3"/>
      <c r="J303" s="3"/>
    </row>
    <row r="304" spans="2:10" ht="15.75" customHeight="1">
      <c r="B304" s="3"/>
      <c r="C304" s="3"/>
      <c r="D304" s="3"/>
      <c r="E304" s="3"/>
      <c r="F304" s="3"/>
      <c r="G304" s="3"/>
      <c r="H304" s="3"/>
      <c r="I304" s="3"/>
      <c r="J304" s="3"/>
    </row>
    <row r="305" spans="2:10" ht="15.75" customHeight="1">
      <c r="B305" s="3"/>
      <c r="C305" s="3"/>
      <c r="D305" s="3"/>
      <c r="E305" s="3"/>
      <c r="F305" s="3"/>
      <c r="G305" s="3"/>
      <c r="H305" s="3"/>
      <c r="I305" s="3"/>
      <c r="J305" s="3"/>
    </row>
    <row r="306" spans="2:10" ht="15.75" customHeight="1">
      <c r="B306" s="3"/>
      <c r="C306" s="3"/>
      <c r="D306" s="3"/>
      <c r="E306" s="3"/>
      <c r="F306" s="3"/>
      <c r="G306" s="3"/>
      <c r="H306" s="3"/>
      <c r="I306" s="3"/>
      <c r="J306" s="3"/>
    </row>
    <row r="307" spans="2:10" ht="15.75" customHeight="1">
      <c r="B307" s="3"/>
      <c r="C307" s="3"/>
      <c r="D307" s="3"/>
      <c r="E307" s="3"/>
      <c r="F307" s="3"/>
      <c r="G307" s="3"/>
      <c r="H307" s="3"/>
      <c r="I307" s="3"/>
      <c r="J307" s="3"/>
    </row>
    <row r="308" spans="2:10" ht="15.75" customHeight="1">
      <c r="B308" s="3"/>
      <c r="C308" s="3"/>
      <c r="D308" s="3"/>
      <c r="E308" s="3"/>
      <c r="F308" s="3"/>
      <c r="G308" s="3"/>
      <c r="H308" s="3"/>
      <c r="I308" s="3"/>
      <c r="J308" s="3"/>
    </row>
    <row r="309" spans="2:10" ht="15.75" customHeight="1">
      <c r="B309" s="3"/>
      <c r="C309" s="3"/>
      <c r="D309" s="3"/>
      <c r="E309" s="3"/>
      <c r="F309" s="3"/>
      <c r="G309" s="3"/>
      <c r="H309" s="3"/>
      <c r="I309" s="3"/>
      <c r="J309" s="3"/>
    </row>
    <row r="310" spans="2:10" ht="15.75" customHeight="1">
      <c r="B310" s="3"/>
      <c r="C310" s="3"/>
      <c r="D310" s="3"/>
      <c r="E310" s="3"/>
      <c r="F310" s="3"/>
      <c r="G310" s="3"/>
      <c r="H310" s="3"/>
      <c r="I310" s="3"/>
      <c r="J310" s="3"/>
    </row>
    <row r="311" spans="2:10" ht="15.75" customHeight="1">
      <c r="B311" s="3"/>
      <c r="C311" s="3"/>
      <c r="D311" s="3"/>
      <c r="E311" s="3"/>
      <c r="F311" s="3"/>
      <c r="G311" s="3"/>
      <c r="H311" s="3"/>
      <c r="I311" s="3"/>
      <c r="J311" s="3"/>
    </row>
    <row r="312" spans="2:10" ht="15.75" customHeight="1">
      <c r="B312" s="3"/>
      <c r="C312" s="3"/>
      <c r="D312" s="3"/>
      <c r="E312" s="3"/>
      <c r="F312" s="3"/>
      <c r="G312" s="3"/>
      <c r="H312" s="3"/>
      <c r="I312" s="3"/>
      <c r="J312" s="3"/>
    </row>
    <row r="313" spans="2:10" ht="15.75" customHeight="1">
      <c r="B313" s="3"/>
      <c r="C313" s="3"/>
      <c r="D313" s="3"/>
      <c r="E313" s="3"/>
      <c r="F313" s="3"/>
      <c r="G313" s="3"/>
      <c r="H313" s="3"/>
      <c r="I313" s="3"/>
      <c r="J313" s="3"/>
    </row>
    <row r="314" spans="2:10" ht="15.75" customHeight="1">
      <c r="B314" s="3"/>
      <c r="C314" s="3"/>
      <c r="D314" s="3"/>
      <c r="E314" s="3"/>
      <c r="F314" s="3"/>
      <c r="G314" s="3"/>
      <c r="H314" s="3"/>
      <c r="I314" s="3"/>
      <c r="J314" s="3"/>
    </row>
    <row r="315" spans="2:10" ht="15.75" customHeight="1"/>
    <row r="316" spans="2:10" ht="15.75" customHeight="1"/>
    <row r="317" spans="2:10" ht="15.75" customHeight="1"/>
    <row r="318" spans="2:10" ht="15.75" customHeight="1"/>
    <row r="319" spans="2:10" ht="15.75" customHeight="1"/>
    <row r="320" spans="2:1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sheetData>
  <mergeCells count="22">
    <mergeCell ref="D98:E98"/>
    <mergeCell ref="D99:D106"/>
    <mergeCell ref="D107:E107"/>
    <mergeCell ref="D109:E109"/>
    <mergeCell ref="I114:J114"/>
    <mergeCell ref="D40:E40"/>
    <mergeCell ref="D41:D48"/>
    <mergeCell ref="D75:D92"/>
    <mergeCell ref="D93:E93"/>
    <mergeCell ref="D94:D97"/>
    <mergeCell ref="D49:D51"/>
    <mergeCell ref="D52:E52"/>
    <mergeCell ref="D53:D64"/>
    <mergeCell ref="D65:D67"/>
    <mergeCell ref="D68:E68"/>
    <mergeCell ref="D69:D73"/>
    <mergeCell ref="D74:E74"/>
    <mergeCell ref="D14:D15"/>
    <mergeCell ref="D17:D27"/>
    <mergeCell ref="D29:D30"/>
    <mergeCell ref="D35:D37"/>
    <mergeCell ref="D38:E3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X1001"/>
  <sheetViews>
    <sheetView workbookViewId="0"/>
  </sheetViews>
  <sheetFormatPr defaultColWidth="12.5703125" defaultRowHeight="15" customHeight="1"/>
  <cols>
    <col min="1" max="1" width="5.7109375" customWidth="1"/>
    <col min="2" max="2" width="31.140625" customWidth="1"/>
    <col min="3" max="3" width="9.7109375" customWidth="1"/>
    <col min="4" max="4" width="13.5703125" customWidth="1"/>
    <col min="5" max="5" width="13.28515625" customWidth="1"/>
    <col min="6" max="6" width="10.42578125" customWidth="1"/>
    <col min="7" max="7" width="14.140625" customWidth="1"/>
    <col min="8" max="8" width="2.7109375" customWidth="1"/>
    <col min="9" max="9" width="52.140625" customWidth="1"/>
    <col min="10" max="10" width="2.425781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3.28515625" customWidth="1"/>
    <col min="24" max="24" width="12.85546875" customWidth="1"/>
  </cols>
  <sheetData>
    <row r="1" spans="1:24" ht="15.75" customHeight="1">
      <c r="A1" s="128" t="s">
        <v>122</v>
      </c>
      <c r="B1" s="129"/>
      <c r="C1" s="292"/>
      <c r="D1" s="132"/>
      <c r="E1" s="132"/>
      <c r="F1" s="132"/>
      <c r="G1" s="132"/>
      <c r="H1" s="132"/>
      <c r="I1" s="132"/>
      <c r="J1" s="132"/>
      <c r="K1" s="132"/>
      <c r="L1" s="210"/>
      <c r="M1" s="130"/>
      <c r="N1" s="129"/>
      <c r="O1" s="129"/>
      <c r="P1" s="129"/>
      <c r="Q1" s="129"/>
      <c r="R1" s="129"/>
      <c r="S1" s="129"/>
      <c r="T1" s="129"/>
      <c r="U1" s="129"/>
      <c r="V1" s="129"/>
      <c r="W1" s="132"/>
      <c r="X1" s="132"/>
    </row>
    <row r="2" spans="1:24" ht="15.75" customHeight="1">
      <c r="A2" s="128" t="s">
        <v>392</v>
      </c>
      <c r="B2" s="129"/>
      <c r="C2" s="292"/>
      <c r="D2" s="132"/>
      <c r="E2" s="132"/>
      <c r="F2" s="132"/>
      <c r="G2" s="132"/>
      <c r="H2" s="132"/>
      <c r="I2" s="132"/>
      <c r="J2" s="132"/>
      <c r="K2" s="132"/>
      <c r="L2" s="210"/>
      <c r="M2" s="129"/>
      <c r="N2" s="129"/>
      <c r="O2" s="129"/>
      <c r="P2" s="129"/>
      <c r="Q2" s="129"/>
      <c r="R2" s="129"/>
      <c r="S2" s="129"/>
      <c r="T2" s="129"/>
      <c r="U2" s="129"/>
      <c r="V2" s="129"/>
      <c r="W2" s="132"/>
      <c r="X2" s="132"/>
    </row>
    <row r="3" spans="1:24" ht="15.75" customHeight="1">
      <c r="A3" s="293"/>
      <c r="B3" s="294"/>
      <c r="C3" s="292"/>
      <c r="D3" s="132"/>
      <c r="E3" s="132"/>
      <c r="F3" s="132"/>
      <c r="G3" s="132"/>
      <c r="H3" s="132"/>
      <c r="I3" s="132"/>
      <c r="J3" s="132"/>
      <c r="K3" s="132"/>
      <c r="L3" s="210"/>
      <c r="M3" s="129"/>
      <c r="N3" s="129"/>
      <c r="O3" s="129"/>
      <c r="P3" s="129"/>
      <c r="Q3" s="129"/>
      <c r="R3" s="135"/>
      <c r="S3" s="135"/>
      <c r="T3" s="129"/>
      <c r="U3" s="129"/>
      <c r="V3" s="129"/>
      <c r="W3" s="132"/>
      <c r="X3" s="132"/>
    </row>
    <row r="4" spans="1:24" ht="38.25" customHeight="1">
      <c r="A4" s="128" t="s">
        <v>126</v>
      </c>
      <c r="B4" s="129"/>
      <c r="C4" s="137" t="s">
        <v>127</v>
      </c>
      <c r="D4" s="140" t="s">
        <v>128</v>
      </c>
      <c r="E4" s="140" t="s">
        <v>129</v>
      </c>
      <c r="F4" s="140" t="s">
        <v>130</v>
      </c>
      <c r="G4" s="140" t="s">
        <v>131</v>
      </c>
      <c r="H4" s="298"/>
      <c r="I4" s="299" t="s">
        <v>298</v>
      </c>
      <c r="J4" s="298"/>
      <c r="K4" s="142">
        <v>45474</v>
      </c>
      <c r="L4" s="429">
        <v>45505</v>
      </c>
      <c r="M4" s="142">
        <v>45536</v>
      </c>
      <c r="N4" s="142">
        <v>45566</v>
      </c>
      <c r="O4" s="142">
        <v>45597</v>
      </c>
      <c r="P4" s="142">
        <v>45627</v>
      </c>
      <c r="Q4" s="142">
        <v>45658</v>
      </c>
      <c r="R4" s="142">
        <v>45689</v>
      </c>
      <c r="S4" s="142">
        <v>45717</v>
      </c>
      <c r="T4" s="142">
        <v>45748</v>
      </c>
      <c r="U4" s="142">
        <v>45778</v>
      </c>
      <c r="V4" s="142">
        <v>45809</v>
      </c>
      <c r="W4" s="430"/>
      <c r="X4" s="144" t="s">
        <v>132</v>
      </c>
    </row>
    <row r="5" spans="1:24" ht="15.75" customHeight="1">
      <c r="A5" s="128"/>
      <c r="B5" s="129" t="s">
        <v>393</v>
      </c>
      <c r="C5" s="292">
        <v>0</v>
      </c>
      <c r="D5" s="210">
        <v>147</v>
      </c>
      <c r="E5" s="67">
        <v>0</v>
      </c>
      <c r="F5" s="67">
        <v>200</v>
      </c>
      <c r="G5" s="210">
        <f t="shared" ref="G5:G8" si="0">F5-C5</f>
        <v>200</v>
      </c>
      <c r="H5" s="249"/>
      <c r="I5" s="431" t="s">
        <v>394</v>
      </c>
      <c r="J5" s="249"/>
      <c r="K5" s="214">
        <v>0</v>
      </c>
      <c r="L5" s="214">
        <v>0</v>
      </c>
      <c r="M5" s="214">
        <v>0</v>
      </c>
      <c r="N5" s="214">
        <v>0</v>
      </c>
      <c r="O5" s="214">
        <v>0</v>
      </c>
      <c r="P5" s="214">
        <v>200</v>
      </c>
      <c r="Q5" s="214">
        <v>0</v>
      </c>
      <c r="R5" s="214">
        <v>0</v>
      </c>
      <c r="S5" s="214">
        <v>0</v>
      </c>
      <c r="T5" s="214">
        <v>0</v>
      </c>
      <c r="U5" s="214">
        <v>0</v>
      </c>
      <c r="V5" s="214">
        <v>0</v>
      </c>
      <c r="W5" s="432"/>
      <c r="X5" s="319">
        <f t="shared" ref="X5:X8" si="1">SUM(K5:V5)</f>
        <v>200</v>
      </c>
    </row>
    <row r="6" spans="1:24" ht="15.75" customHeight="1">
      <c r="A6" s="128"/>
      <c r="B6" s="129" t="s">
        <v>27</v>
      </c>
      <c r="C6" s="292">
        <v>15000</v>
      </c>
      <c r="D6" s="210">
        <v>13518</v>
      </c>
      <c r="E6" s="67">
        <v>10310.25</v>
      </c>
      <c r="F6" s="67">
        <v>24000</v>
      </c>
      <c r="G6" s="210">
        <f t="shared" si="0"/>
        <v>9000</v>
      </c>
      <c r="H6" s="249"/>
      <c r="I6" s="210"/>
      <c r="J6" s="249"/>
      <c r="K6" s="318">
        <v>0</v>
      </c>
      <c r="L6" s="319">
        <v>0</v>
      </c>
      <c r="M6" s="319">
        <v>4000</v>
      </c>
      <c r="N6" s="319">
        <v>3000</v>
      </c>
      <c r="O6" s="319">
        <v>3000</v>
      </c>
      <c r="P6" s="319">
        <v>2500</v>
      </c>
      <c r="Q6" s="319">
        <v>2500</v>
      </c>
      <c r="R6" s="319">
        <v>4000</v>
      </c>
      <c r="S6" s="319">
        <v>2500</v>
      </c>
      <c r="T6" s="319">
        <v>2500</v>
      </c>
      <c r="U6" s="319">
        <v>0</v>
      </c>
      <c r="V6" s="319">
        <v>0</v>
      </c>
      <c r="W6" s="432"/>
      <c r="X6" s="319">
        <f t="shared" si="1"/>
        <v>24000</v>
      </c>
    </row>
    <row r="7" spans="1:24" ht="15.75" customHeight="1">
      <c r="A7" s="128"/>
      <c r="B7" s="107" t="s">
        <v>366</v>
      </c>
      <c r="C7" s="292">
        <v>15000</v>
      </c>
      <c r="D7" s="210">
        <v>73</v>
      </c>
      <c r="E7" s="67">
        <v>5915</v>
      </c>
      <c r="F7" s="67">
        <v>4800</v>
      </c>
      <c r="G7" s="210">
        <f t="shared" si="0"/>
        <v>-10200</v>
      </c>
      <c r="H7" s="249"/>
      <c r="I7" s="210"/>
      <c r="J7" s="249"/>
      <c r="K7" s="433">
        <v>0</v>
      </c>
      <c r="L7" s="396">
        <v>0</v>
      </c>
      <c r="M7" s="396">
        <v>0</v>
      </c>
      <c r="N7" s="396">
        <v>0</v>
      </c>
      <c r="O7" s="396">
        <v>0</v>
      </c>
      <c r="P7" s="396">
        <v>0</v>
      </c>
      <c r="Q7" s="396">
        <v>1600</v>
      </c>
      <c r="R7" s="396">
        <v>1600</v>
      </c>
      <c r="S7" s="396">
        <v>1600</v>
      </c>
      <c r="T7" s="396">
        <v>0</v>
      </c>
      <c r="U7" s="396">
        <v>0</v>
      </c>
      <c r="V7" s="396">
        <v>0</v>
      </c>
      <c r="W7" s="432"/>
      <c r="X7" s="319">
        <f t="shared" si="1"/>
        <v>4800</v>
      </c>
    </row>
    <row r="8" spans="1:24" ht="15.75" customHeight="1">
      <c r="A8" s="128" t="s">
        <v>153</v>
      </c>
      <c r="B8" s="128"/>
      <c r="C8" s="335">
        <f>SUM(C6:C7)</f>
        <v>30000</v>
      </c>
      <c r="D8" s="335">
        <f t="shared" ref="D8:F8" si="2">SUM(D5:D7)</f>
        <v>13738</v>
      </c>
      <c r="E8" s="335">
        <f t="shared" si="2"/>
        <v>16225.25</v>
      </c>
      <c r="F8" s="335">
        <f t="shared" si="2"/>
        <v>29000</v>
      </c>
      <c r="G8" s="210">
        <f t="shared" si="0"/>
        <v>-1000</v>
      </c>
      <c r="H8" s="434"/>
      <c r="I8" s="435"/>
      <c r="J8" s="434"/>
      <c r="K8" s="436">
        <f t="shared" ref="K8:V8" si="3">SUM(K5:K7)</f>
        <v>0</v>
      </c>
      <c r="L8" s="436">
        <f t="shared" si="3"/>
        <v>0</v>
      </c>
      <c r="M8" s="436">
        <f t="shared" si="3"/>
        <v>4000</v>
      </c>
      <c r="N8" s="436">
        <f t="shared" si="3"/>
        <v>3000</v>
      </c>
      <c r="O8" s="436">
        <f t="shared" si="3"/>
        <v>3000</v>
      </c>
      <c r="P8" s="436">
        <f t="shared" si="3"/>
        <v>2700</v>
      </c>
      <c r="Q8" s="436">
        <f t="shared" si="3"/>
        <v>4100</v>
      </c>
      <c r="R8" s="436">
        <f t="shared" si="3"/>
        <v>5600</v>
      </c>
      <c r="S8" s="436">
        <f t="shared" si="3"/>
        <v>4100</v>
      </c>
      <c r="T8" s="436">
        <f t="shared" si="3"/>
        <v>2500</v>
      </c>
      <c r="U8" s="436">
        <f t="shared" si="3"/>
        <v>0</v>
      </c>
      <c r="V8" s="436">
        <f t="shared" si="3"/>
        <v>0</v>
      </c>
      <c r="W8" s="437"/>
      <c r="X8" s="385">
        <f t="shared" si="1"/>
        <v>29000</v>
      </c>
    </row>
    <row r="9" spans="1:24" ht="15.75" customHeight="1">
      <c r="A9" s="128"/>
      <c r="B9" s="129"/>
      <c r="C9" s="292"/>
      <c r="D9" s="198"/>
      <c r="E9" s="198"/>
      <c r="F9" s="198"/>
      <c r="G9" s="198"/>
      <c r="H9" s="198"/>
      <c r="I9" s="198"/>
      <c r="J9" s="198"/>
      <c r="K9" s="198"/>
      <c r="L9" s="210"/>
      <c r="M9" s="135"/>
      <c r="N9" s="135"/>
      <c r="O9" s="135"/>
      <c r="P9" s="135"/>
      <c r="Q9" s="135"/>
      <c r="R9" s="135"/>
      <c r="S9" s="135"/>
      <c r="T9" s="135"/>
      <c r="U9" s="135"/>
      <c r="V9" s="135"/>
      <c r="W9" s="438"/>
      <c r="X9" s="438"/>
    </row>
    <row r="10" spans="1:24" ht="40.5" customHeight="1">
      <c r="A10" s="128" t="s">
        <v>154</v>
      </c>
      <c r="B10" s="129"/>
      <c r="C10" s="137" t="s">
        <v>127</v>
      </c>
      <c r="D10" s="140" t="s">
        <v>128</v>
      </c>
      <c r="E10" s="140" t="s">
        <v>129</v>
      </c>
      <c r="F10" s="140" t="s">
        <v>130</v>
      </c>
      <c r="G10" s="140" t="s">
        <v>131</v>
      </c>
      <c r="H10" s="141"/>
      <c r="I10" s="299" t="s">
        <v>298</v>
      </c>
      <c r="J10" s="141"/>
      <c r="K10" s="142">
        <v>45474</v>
      </c>
      <c r="L10" s="429">
        <v>45505</v>
      </c>
      <c r="M10" s="142">
        <v>45536</v>
      </c>
      <c r="N10" s="142">
        <v>45566</v>
      </c>
      <c r="O10" s="142">
        <v>45597</v>
      </c>
      <c r="P10" s="142">
        <v>45627</v>
      </c>
      <c r="Q10" s="142">
        <v>45658</v>
      </c>
      <c r="R10" s="142">
        <v>45689</v>
      </c>
      <c r="S10" s="142">
        <v>45717</v>
      </c>
      <c r="T10" s="142">
        <v>45748</v>
      </c>
      <c r="U10" s="142">
        <v>45778</v>
      </c>
      <c r="V10" s="142">
        <v>45809</v>
      </c>
      <c r="W10" s="439"/>
      <c r="X10" s="144" t="s">
        <v>132</v>
      </c>
    </row>
    <row r="11" spans="1:24" ht="41.25" customHeight="1">
      <c r="A11" s="128"/>
      <c r="B11" s="128" t="s">
        <v>45</v>
      </c>
      <c r="C11" s="378">
        <v>70000</v>
      </c>
      <c r="D11" s="314">
        <v>26984</v>
      </c>
      <c r="E11" s="64">
        <v>15756.22</v>
      </c>
      <c r="F11" s="64">
        <v>70000</v>
      </c>
      <c r="G11" s="314">
        <f t="shared" ref="G11:G14" si="4">F11-C11</f>
        <v>0</v>
      </c>
      <c r="H11" s="219"/>
      <c r="I11" s="440" t="s">
        <v>395</v>
      </c>
      <c r="J11" s="441"/>
      <c r="K11" s="442"/>
      <c r="L11" s="443">
        <v>7000</v>
      </c>
      <c r="M11" s="443">
        <v>7000</v>
      </c>
      <c r="N11" s="443">
        <v>7000</v>
      </c>
      <c r="O11" s="443">
        <v>7000</v>
      </c>
      <c r="P11" s="443">
        <v>7000</v>
      </c>
      <c r="Q11" s="443">
        <v>7000</v>
      </c>
      <c r="R11" s="443">
        <v>7000</v>
      </c>
      <c r="S11" s="443">
        <v>7000</v>
      </c>
      <c r="T11" s="443">
        <v>7000</v>
      </c>
      <c r="U11" s="443">
        <v>7000</v>
      </c>
      <c r="V11" s="442"/>
      <c r="W11" s="432"/>
      <c r="X11" s="444">
        <f>SUM(K11:V11)</f>
        <v>70000</v>
      </c>
    </row>
    <row r="12" spans="1:24" ht="15.75" customHeight="1">
      <c r="A12" s="128"/>
      <c r="B12" s="128" t="s">
        <v>368</v>
      </c>
      <c r="C12" s="383">
        <f t="shared" ref="C12:F12" si="5">SUM(C13:C15)</f>
        <v>30000</v>
      </c>
      <c r="D12" s="383">
        <f t="shared" si="5"/>
        <v>13582</v>
      </c>
      <c r="E12" s="383">
        <f t="shared" si="5"/>
        <v>19182.919999999998</v>
      </c>
      <c r="F12" s="383">
        <f t="shared" si="5"/>
        <v>41000</v>
      </c>
      <c r="G12" s="311">
        <f t="shared" si="4"/>
        <v>11000</v>
      </c>
      <c r="H12" s="219"/>
      <c r="I12" s="411"/>
      <c r="J12" s="219"/>
      <c r="K12" s="225">
        <f t="shared" ref="K12:V12" si="6">SUM(K13:K15)</f>
        <v>0</v>
      </c>
      <c r="L12" s="225">
        <f t="shared" si="6"/>
        <v>3000</v>
      </c>
      <c r="M12" s="225">
        <f t="shared" si="6"/>
        <v>3555.5555555555557</v>
      </c>
      <c r="N12" s="225">
        <f t="shared" si="6"/>
        <v>3555.5555555555557</v>
      </c>
      <c r="O12" s="225">
        <f t="shared" si="6"/>
        <v>3555.5555555555557</v>
      </c>
      <c r="P12" s="225">
        <f t="shared" si="6"/>
        <v>3555.5555555555557</v>
      </c>
      <c r="Q12" s="225">
        <f t="shared" si="6"/>
        <v>3555.5555555555557</v>
      </c>
      <c r="R12" s="225">
        <f t="shared" si="6"/>
        <v>3555.5555555555557</v>
      </c>
      <c r="S12" s="225">
        <f t="shared" si="6"/>
        <v>9555.5555555555547</v>
      </c>
      <c r="T12" s="225">
        <f t="shared" si="6"/>
        <v>3555.5555555555557</v>
      </c>
      <c r="U12" s="225">
        <f t="shared" si="6"/>
        <v>3555.5555555555557</v>
      </c>
      <c r="V12" s="225">
        <f t="shared" si="6"/>
        <v>0</v>
      </c>
      <c r="W12" s="432"/>
      <c r="X12" s="225">
        <f>SUM(X13:X15)</f>
        <v>41000</v>
      </c>
    </row>
    <row r="13" spans="1:24" ht="39.75" customHeight="1">
      <c r="A13" s="128"/>
      <c r="B13" s="129" t="s">
        <v>206</v>
      </c>
      <c r="C13" s="320">
        <v>15000</v>
      </c>
      <c r="D13" s="351">
        <f>13582-2874</f>
        <v>10708</v>
      </c>
      <c r="E13" s="67">
        <v>11000</v>
      </c>
      <c r="F13" s="67">
        <v>30000</v>
      </c>
      <c r="G13" s="314">
        <f t="shared" si="4"/>
        <v>15000</v>
      </c>
      <c r="H13" s="211"/>
      <c r="I13" s="445" t="s">
        <v>396</v>
      </c>
      <c r="J13" s="211"/>
      <c r="K13" s="318">
        <v>0</v>
      </c>
      <c r="L13" s="319">
        <v>3000</v>
      </c>
      <c r="M13" s="319">
        <v>3000</v>
      </c>
      <c r="N13" s="319">
        <v>3000</v>
      </c>
      <c r="O13" s="319">
        <v>3000</v>
      </c>
      <c r="P13" s="319">
        <v>3000</v>
      </c>
      <c r="Q13" s="319">
        <v>3000</v>
      </c>
      <c r="R13" s="319">
        <v>3000</v>
      </c>
      <c r="S13" s="319">
        <v>3000</v>
      </c>
      <c r="T13" s="319">
        <v>3000</v>
      </c>
      <c r="U13" s="319">
        <v>3000</v>
      </c>
      <c r="V13" s="319">
        <v>0</v>
      </c>
      <c r="W13" s="430"/>
      <c r="X13" s="318">
        <f t="shared" ref="X13:X15" si="7">SUM(K13:V13)</f>
        <v>30000</v>
      </c>
    </row>
    <row r="14" spans="1:24" ht="15.75" customHeight="1">
      <c r="A14" s="128"/>
      <c r="B14" s="129" t="s">
        <v>207</v>
      </c>
      <c r="C14" s="320">
        <v>15000</v>
      </c>
      <c r="D14" s="351">
        <v>0</v>
      </c>
      <c r="E14" s="67">
        <v>5914.92</v>
      </c>
      <c r="F14" s="67">
        <v>6000</v>
      </c>
      <c r="G14" s="314">
        <f t="shared" si="4"/>
        <v>-9000</v>
      </c>
      <c r="H14" s="211"/>
      <c r="I14" s="412" t="s">
        <v>397</v>
      </c>
      <c r="J14" s="211"/>
      <c r="K14" s="318">
        <v>0</v>
      </c>
      <c r="L14" s="319">
        <v>0</v>
      </c>
      <c r="M14" s="319">
        <v>0</v>
      </c>
      <c r="N14" s="319">
        <v>0</v>
      </c>
      <c r="O14" s="319">
        <v>0</v>
      </c>
      <c r="P14" s="319">
        <v>0</v>
      </c>
      <c r="Q14" s="319">
        <v>0</v>
      </c>
      <c r="R14" s="319">
        <v>0</v>
      </c>
      <c r="S14" s="319">
        <v>6000</v>
      </c>
      <c r="T14" s="319">
        <v>0</v>
      </c>
      <c r="U14" s="319">
        <v>0</v>
      </c>
      <c r="V14" s="319">
        <v>0</v>
      </c>
      <c r="W14" s="430"/>
      <c r="X14" s="318">
        <f t="shared" si="7"/>
        <v>6000</v>
      </c>
    </row>
    <row r="15" spans="1:24" ht="15.75" customHeight="1">
      <c r="A15" s="128"/>
      <c r="B15" s="132" t="s">
        <v>208</v>
      </c>
      <c r="C15" s="166"/>
      <c r="D15" s="351">
        <f>361.08+375+437.52+815.16+588+297.24</f>
        <v>2874</v>
      </c>
      <c r="E15" s="67">
        <v>2268</v>
      </c>
      <c r="F15" s="67">
        <v>5000</v>
      </c>
      <c r="G15" s="314"/>
      <c r="H15" s="211"/>
      <c r="I15" s="412" t="s">
        <v>398</v>
      </c>
      <c r="J15" s="211"/>
      <c r="K15" s="318">
        <v>0</v>
      </c>
      <c r="L15" s="319">
        <v>0</v>
      </c>
      <c r="M15" s="319">
        <f t="shared" ref="M15:U15" si="8">5000/9</f>
        <v>555.55555555555554</v>
      </c>
      <c r="N15" s="319">
        <f t="shared" si="8"/>
        <v>555.55555555555554</v>
      </c>
      <c r="O15" s="319">
        <f t="shared" si="8"/>
        <v>555.55555555555554</v>
      </c>
      <c r="P15" s="319">
        <f t="shared" si="8"/>
        <v>555.55555555555554</v>
      </c>
      <c r="Q15" s="319">
        <f t="shared" si="8"/>
        <v>555.55555555555554</v>
      </c>
      <c r="R15" s="319">
        <f t="shared" si="8"/>
        <v>555.55555555555554</v>
      </c>
      <c r="S15" s="319">
        <f t="shared" si="8"/>
        <v>555.55555555555554</v>
      </c>
      <c r="T15" s="319">
        <f t="shared" si="8"/>
        <v>555.55555555555554</v>
      </c>
      <c r="U15" s="319">
        <f t="shared" si="8"/>
        <v>555.55555555555554</v>
      </c>
      <c r="V15" s="319">
        <v>0</v>
      </c>
      <c r="W15" s="430"/>
      <c r="X15" s="318">
        <f t="shared" si="7"/>
        <v>5000</v>
      </c>
    </row>
    <row r="16" spans="1:24" ht="15.75" customHeight="1">
      <c r="A16" s="128"/>
      <c r="B16" s="128" t="s">
        <v>372</v>
      </c>
      <c r="C16" s="383">
        <f t="shared" ref="C16:F16" si="9">SUM(C17:C19)</f>
        <v>117000</v>
      </c>
      <c r="D16" s="383">
        <f t="shared" si="9"/>
        <v>64216</v>
      </c>
      <c r="E16" s="383">
        <f t="shared" si="9"/>
        <v>61550</v>
      </c>
      <c r="F16" s="383">
        <f t="shared" si="9"/>
        <v>87150</v>
      </c>
      <c r="G16" s="311">
        <f t="shared" ref="G16:G38" si="10">F16-C16</f>
        <v>-29850</v>
      </c>
      <c r="H16" s="219"/>
      <c r="I16" s="411"/>
      <c r="J16" s="219"/>
      <c r="K16" s="225">
        <f t="shared" ref="K16:V16" si="11">SUM(K17:K19)</f>
        <v>13557</v>
      </c>
      <c r="L16" s="225">
        <f t="shared" si="11"/>
        <v>5975</v>
      </c>
      <c r="M16" s="225">
        <f t="shared" si="11"/>
        <v>3768</v>
      </c>
      <c r="N16" s="225">
        <f t="shared" si="11"/>
        <v>3268</v>
      </c>
      <c r="O16" s="225">
        <f t="shared" si="11"/>
        <v>3790</v>
      </c>
      <c r="P16" s="225">
        <f t="shared" si="11"/>
        <v>3193</v>
      </c>
      <c r="Q16" s="225">
        <f t="shared" si="11"/>
        <v>3940</v>
      </c>
      <c r="R16" s="225">
        <f t="shared" si="11"/>
        <v>3068</v>
      </c>
      <c r="S16" s="225">
        <f t="shared" si="11"/>
        <v>3218</v>
      </c>
      <c r="T16" s="225">
        <f t="shared" si="11"/>
        <v>39068</v>
      </c>
      <c r="U16" s="225">
        <f t="shared" si="11"/>
        <v>4305</v>
      </c>
      <c r="V16" s="225">
        <f t="shared" si="11"/>
        <v>0</v>
      </c>
      <c r="W16" s="446"/>
      <c r="X16" s="225">
        <f>SUM(X17:X19)</f>
        <v>87150</v>
      </c>
    </row>
    <row r="17" spans="1:24" ht="27" customHeight="1">
      <c r="A17" s="128"/>
      <c r="B17" s="129" t="s">
        <v>175</v>
      </c>
      <c r="C17" s="320">
        <f>15000-2000</f>
        <v>13000</v>
      </c>
      <c r="D17" s="351">
        <v>22446</v>
      </c>
      <c r="E17" s="351"/>
      <c r="F17" s="351"/>
      <c r="G17" s="314">
        <f t="shared" si="10"/>
        <v>-13000</v>
      </c>
      <c r="H17" s="211"/>
      <c r="I17" s="412" t="s">
        <v>399</v>
      </c>
      <c r="J17" s="211"/>
      <c r="K17" s="318">
        <v>0</v>
      </c>
      <c r="L17" s="319">
        <v>0</v>
      </c>
      <c r="M17" s="319">
        <v>0</v>
      </c>
      <c r="N17" s="319">
        <v>0</v>
      </c>
      <c r="O17" s="319">
        <v>0</v>
      </c>
      <c r="P17" s="319">
        <v>0</v>
      </c>
      <c r="Q17" s="319">
        <v>0</v>
      </c>
      <c r="R17" s="319">
        <v>0</v>
      </c>
      <c r="S17" s="319">
        <v>0</v>
      </c>
      <c r="T17" s="319">
        <v>0</v>
      </c>
      <c r="U17" s="319">
        <v>0</v>
      </c>
      <c r="V17" s="319">
        <v>0</v>
      </c>
      <c r="W17" s="446"/>
      <c r="X17" s="318">
        <f t="shared" ref="X17:X18" si="12">SUM(K17:V17)</f>
        <v>0</v>
      </c>
    </row>
    <row r="18" spans="1:24" ht="27" customHeight="1">
      <c r="A18" s="128"/>
      <c r="B18" s="129" t="s">
        <v>400</v>
      </c>
      <c r="C18" s="320">
        <v>36000</v>
      </c>
      <c r="D18" s="351">
        <v>0</v>
      </c>
      <c r="E18" s="67">
        <v>36000</v>
      </c>
      <c r="F18" s="67">
        <v>36000</v>
      </c>
      <c r="G18" s="314">
        <f t="shared" si="10"/>
        <v>0</v>
      </c>
      <c r="H18" s="211"/>
      <c r="I18" s="412" t="s">
        <v>401</v>
      </c>
      <c r="J18" s="211"/>
      <c r="K18" s="318">
        <v>0</v>
      </c>
      <c r="L18" s="319">
        <v>0</v>
      </c>
      <c r="M18" s="319">
        <v>0</v>
      </c>
      <c r="N18" s="319">
        <v>0</v>
      </c>
      <c r="O18" s="319">
        <v>0</v>
      </c>
      <c r="P18" s="319">
        <v>0</v>
      </c>
      <c r="Q18" s="319">
        <v>0</v>
      </c>
      <c r="R18" s="319">
        <v>0</v>
      </c>
      <c r="S18" s="319">
        <v>0</v>
      </c>
      <c r="T18" s="319">
        <v>36000</v>
      </c>
      <c r="U18" s="319">
        <v>0</v>
      </c>
      <c r="V18" s="319">
        <v>0</v>
      </c>
      <c r="W18" s="446"/>
      <c r="X18" s="318">
        <f t="shared" si="12"/>
        <v>36000</v>
      </c>
    </row>
    <row r="19" spans="1:24" ht="31.5" customHeight="1">
      <c r="A19" s="232"/>
      <c r="B19" s="132" t="s">
        <v>176</v>
      </c>
      <c r="C19" s="447">
        <f t="shared" ref="C19:F19" si="13">SUM(C20:C30)</f>
        <v>68000</v>
      </c>
      <c r="D19" s="447">
        <f t="shared" si="13"/>
        <v>41770</v>
      </c>
      <c r="E19" s="447">
        <f t="shared" si="13"/>
        <v>25550</v>
      </c>
      <c r="F19" s="447">
        <f t="shared" si="13"/>
        <v>51150</v>
      </c>
      <c r="G19" s="367">
        <f t="shared" si="10"/>
        <v>-16850</v>
      </c>
      <c r="H19" s="211"/>
      <c r="I19" s="440" t="s">
        <v>402</v>
      </c>
      <c r="J19" s="211"/>
      <c r="K19" s="242">
        <f t="shared" ref="K19:M19" si="14">SUM(K20:K29)</f>
        <v>13557</v>
      </c>
      <c r="L19" s="242">
        <f t="shared" si="14"/>
        <v>5975</v>
      </c>
      <c r="M19" s="242">
        <f t="shared" si="14"/>
        <v>3768</v>
      </c>
      <c r="N19" s="242">
        <f t="shared" ref="N19:V19" si="15">SUM(N20:N30)</f>
        <v>3268</v>
      </c>
      <c r="O19" s="242">
        <f t="shared" si="15"/>
        <v>3790</v>
      </c>
      <c r="P19" s="242">
        <f t="shared" si="15"/>
        <v>3193</v>
      </c>
      <c r="Q19" s="242">
        <f t="shared" si="15"/>
        <v>3940</v>
      </c>
      <c r="R19" s="242">
        <f t="shared" si="15"/>
        <v>3068</v>
      </c>
      <c r="S19" s="242">
        <f t="shared" si="15"/>
        <v>3218</v>
      </c>
      <c r="T19" s="242">
        <f t="shared" si="15"/>
        <v>3068</v>
      </c>
      <c r="U19" s="242">
        <f t="shared" si="15"/>
        <v>4305</v>
      </c>
      <c r="V19" s="242">
        <f t="shared" si="15"/>
        <v>0</v>
      </c>
      <c r="W19" s="446"/>
      <c r="X19" s="242">
        <f>SUM(X20:X30)</f>
        <v>51150</v>
      </c>
    </row>
    <row r="20" spans="1:24" ht="25.5" customHeight="1">
      <c r="A20" s="232"/>
      <c r="B20" s="132" t="s">
        <v>179</v>
      </c>
      <c r="C20" s="166">
        <v>12000</v>
      </c>
      <c r="D20" s="351">
        <v>5520</v>
      </c>
      <c r="E20" s="67">
        <v>4000</v>
      </c>
      <c r="F20" s="67">
        <v>8000</v>
      </c>
      <c r="G20" s="314">
        <f t="shared" si="10"/>
        <v>-4000</v>
      </c>
      <c r="H20" s="211"/>
      <c r="I20" s="412" t="s">
        <v>403</v>
      </c>
      <c r="J20" s="211"/>
      <c r="K20" s="318">
        <v>2500</v>
      </c>
      <c r="L20" s="319">
        <v>1000</v>
      </c>
      <c r="M20" s="319">
        <v>1000</v>
      </c>
      <c r="N20" s="319">
        <v>500</v>
      </c>
      <c r="O20" s="319">
        <v>500</v>
      </c>
      <c r="P20" s="319">
        <v>300</v>
      </c>
      <c r="Q20" s="319">
        <v>1000</v>
      </c>
      <c r="R20" s="319">
        <v>300</v>
      </c>
      <c r="S20" s="319">
        <v>300</v>
      </c>
      <c r="T20" s="319">
        <v>300</v>
      </c>
      <c r="U20" s="319">
        <v>300</v>
      </c>
      <c r="V20" s="319">
        <v>0</v>
      </c>
      <c r="W20" s="432"/>
      <c r="X20" s="318">
        <f t="shared" ref="X20:X30" si="16">SUM(K20:V20)</f>
        <v>8000</v>
      </c>
    </row>
    <row r="21" spans="1:24" ht="24.75" customHeight="1">
      <c r="A21" s="232"/>
      <c r="B21" s="132" t="s">
        <v>180</v>
      </c>
      <c r="C21" s="166">
        <v>9000</v>
      </c>
      <c r="D21" s="351">
        <v>3576</v>
      </c>
      <c r="E21" s="67">
        <v>3000</v>
      </c>
      <c r="F21" s="67">
        <v>6000</v>
      </c>
      <c r="G21" s="314">
        <f t="shared" si="10"/>
        <v>-3000</v>
      </c>
      <c r="H21" s="211"/>
      <c r="I21" s="412" t="s">
        <v>403</v>
      </c>
      <c r="J21" s="211"/>
      <c r="K21" s="318">
        <v>2000</v>
      </c>
      <c r="L21" s="319">
        <v>500</v>
      </c>
      <c r="M21" s="319">
        <v>388</v>
      </c>
      <c r="N21" s="319">
        <v>388</v>
      </c>
      <c r="O21" s="319">
        <v>388</v>
      </c>
      <c r="P21" s="319">
        <v>388</v>
      </c>
      <c r="Q21" s="319">
        <v>388</v>
      </c>
      <c r="R21" s="319">
        <v>388</v>
      </c>
      <c r="S21" s="319">
        <v>388</v>
      </c>
      <c r="T21" s="319">
        <v>388</v>
      </c>
      <c r="U21" s="319">
        <v>396</v>
      </c>
      <c r="V21" s="319">
        <v>0</v>
      </c>
      <c r="W21" s="432"/>
      <c r="X21" s="318">
        <f t="shared" si="16"/>
        <v>6000</v>
      </c>
    </row>
    <row r="22" spans="1:24" ht="23.25" customHeight="1">
      <c r="A22" s="232"/>
      <c r="B22" s="132" t="s">
        <v>181</v>
      </c>
      <c r="C22" s="166">
        <v>9000</v>
      </c>
      <c r="D22" s="351">
        <v>2152</v>
      </c>
      <c r="E22" s="67">
        <v>3000</v>
      </c>
      <c r="F22" s="67">
        <v>6000</v>
      </c>
      <c r="G22" s="314">
        <f t="shared" si="10"/>
        <v>-3000</v>
      </c>
      <c r="H22" s="211"/>
      <c r="I22" s="412" t="s">
        <v>403</v>
      </c>
      <c r="J22" s="211"/>
      <c r="K22" s="318">
        <v>2000</v>
      </c>
      <c r="L22" s="319">
        <v>500</v>
      </c>
      <c r="M22" s="319">
        <v>388</v>
      </c>
      <c r="N22" s="319">
        <v>388</v>
      </c>
      <c r="O22" s="319">
        <v>388</v>
      </c>
      <c r="P22" s="319">
        <v>388</v>
      </c>
      <c r="Q22" s="319">
        <v>388</v>
      </c>
      <c r="R22" s="319">
        <v>388</v>
      </c>
      <c r="S22" s="319">
        <v>388</v>
      </c>
      <c r="T22" s="319">
        <v>388</v>
      </c>
      <c r="U22" s="319">
        <v>396</v>
      </c>
      <c r="V22" s="319">
        <v>0</v>
      </c>
      <c r="W22" s="432"/>
      <c r="X22" s="318">
        <f t="shared" si="16"/>
        <v>6000</v>
      </c>
    </row>
    <row r="23" spans="1:24" ht="24" customHeight="1">
      <c r="A23" s="232"/>
      <c r="B23" s="132" t="s">
        <v>182</v>
      </c>
      <c r="C23" s="166">
        <v>9000</v>
      </c>
      <c r="D23" s="351">
        <v>3435</v>
      </c>
      <c r="E23" s="67">
        <v>3000</v>
      </c>
      <c r="F23" s="67">
        <v>6000</v>
      </c>
      <c r="G23" s="314">
        <f t="shared" si="10"/>
        <v>-3000</v>
      </c>
      <c r="H23" s="211"/>
      <c r="I23" s="412" t="s">
        <v>403</v>
      </c>
      <c r="J23" s="211"/>
      <c r="K23" s="318">
        <v>2000</v>
      </c>
      <c r="L23" s="319">
        <v>500</v>
      </c>
      <c r="M23" s="319">
        <v>388</v>
      </c>
      <c r="N23" s="319">
        <v>388</v>
      </c>
      <c r="O23" s="319">
        <v>388</v>
      </c>
      <c r="P23" s="319">
        <v>388</v>
      </c>
      <c r="Q23" s="319">
        <v>388</v>
      </c>
      <c r="R23" s="319">
        <v>388</v>
      </c>
      <c r="S23" s="319">
        <v>388</v>
      </c>
      <c r="T23" s="319">
        <v>388</v>
      </c>
      <c r="U23" s="319">
        <v>396</v>
      </c>
      <c r="V23" s="319">
        <v>0</v>
      </c>
      <c r="W23" s="432"/>
      <c r="X23" s="318">
        <f t="shared" si="16"/>
        <v>6000</v>
      </c>
    </row>
    <row r="24" spans="1:24" ht="30.75" customHeight="1">
      <c r="A24" s="128"/>
      <c r="B24" s="129" t="s">
        <v>183</v>
      </c>
      <c r="C24" s="166">
        <v>9000</v>
      </c>
      <c r="D24" s="351">
        <v>4321</v>
      </c>
      <c r="E24" s="67">
        <v>3000</v>
      </c>
      <c r="F24" s="67">
        <v>6000</v>
      </c>
      <c r="G24" s="314">
        <f t="shared" si="10"/>
        <v>-3000</v>
      </c>
      <c r="H24" s="211"/>
      <c r="I24" s="412" t="s">
        <v>403</v>
      </c>
      <c r="J24" s="211"/>
      <c r="K24" s="318">
        <v>2000</v>
      </c>
      <c r="L24" s="319">
        <v>500</v>
      </c>
      <c r="M24" s="319">
        <v>388</v>
      </c>
      <c r="N24" s="319">
        <v>388</v>
      </c>
      <c r="O24" s="319">
        <v>388</v>
      </c>
      <c r="P24" s="319">
        <v>388</v>
      </c>
      <c r="Q24" s="319">
        <v>388</v>
      </c>
      <c r="R24" s="319">
        <v>388</v>
      </c>
      <c r="S24" s="319">
        <v>388</v>
      </c>
      <c r="T24" s="319">
        <v>388</v>
      </c>
      <c r="U24" s="319">
        <v>396</v>
      </c>
      <c r="V24" s="319">
        <v>0</v>
      </c>
      <c r="W24" s="432"/>
      <c r="X24" s="318">
        <f t="shared" si="16"/>
        <v>6000</v>
      </c>
    </row>
    <row r="25" spans="1:24" ht="24.75" customHeight="1">
      <c r="A25" s="128"/>
      <c r="B25" s="129" t="s">
        <v>184</v>
      </c>
      <c r="C25" s="166">
        <v>9000</v>
      </c>
      <c r="D25" s="351">
        <v>4627</v>
      </c>
      <c r="E25" s="67">
        <v>3000</v>
      </c>
      <c r="F25" s="67">
        <v>6000</v>
      </c>
      <c r="G25" s="314">
        <f t="shared" si="10"/>
        <v>-3000</v>
      </c>
      <c r="H25" s="211"/>
      <c r="I25" s="412" t="s">
        <v>403</v>
      </c>
      <c r="J25" s="211"/>
      <c r="K25" s="318">
        <v>2000</v>
      </c>
      <c r="L25" s="319">
        <v>500</v>
      </c>
      <c r="M25" s="319">
        <v>388</v>
      </c>
      <c r="N25" s="319">
        <v>388</v>
      </c>
      <c r="O25" s="319">
        <v>388</v>
      </c>
      <c r="P25" s="319">
        <v>388</v>
      </c>
      <c r="Q25" s="319">
        <v>388</v>
      </c>
      <c r="R25" s="319">
        <v>388</v>
      </c>
      <c r="S25" s="319">
        <v>388</v>
      </c>
      <c r="T25" s="319">
        <v>388</v>
      </c>
      <c r="U25" s="319">
        <v>396</v>
      </c>
      <c r="V25" s="319">
        <v>0</v>
      </c>
      <c r="W25" s="432"/>
      <c r="X25" s="318">
        <f t="shared" si="16"/>
        <v>6000</v>
      </c>
    </row>
    <row r="26" spans="1:24" ht="15.75" customHeight="1">
      <c r="A26" s="128"/>
      <c r="B26" s="129" t="s">
        <v>404</v>
      </c>
      <c r="C26" s="166">
        <v>0</v>
      </c>
      <c r="D26" s="351">
        <v>0</v>
      </c>
      <c r="E26" s="67">
        <v>0</v>
      </c>
      <c r="F26" s="67">
        <v>500</v>
      </c>
      <c r="G26" s="314">
        <f t="shared" si="10"/>
        <v>500</v>
      </c>
      <c r="H26" s="211"/>
      <c r="I26" s="412"/>
      <c r="J26" s="211"/>
      <c r="K26" s="212">
        <v>200</v>
      </c>
      <c r="L26" s="212"/>
      <c r="M26" s="212"/>
      <c r="N26" s="212"/>
      <c r="O26" s="212">
        <v>150</v>
      </c>
      <c r="P26" s="212"/>
      <c r="Q26" s="212"/>
      <c r="R26" s="212"/>
      <c r="S26" s="212">
        <v>150</v>
      </c>
      <c r="T26" s="212">
        <v>0</v>
      </c>
      <c r="U26" s="212"/>
      <c r="V26" s="319">
        <v>0</v>
      </c>
      <c r="W26" s="432"/>
      <c r="X26" s="318">
        <f t="shared" si="16"/>
        <v>500</v>
      </c>
    </row>
    <row r="27" spans="1:24" ht="30" customHeight="1">
      <c r="A27" s="128"/>
      <c r="B27" s="129" t="s">
        <v>185</v>
      </c>
      <c r="C27" s="166">
        <v>9000</v>
      </c>
      <c r="D27" s="351">
        <v>6468</v>
      </c>
      <c r="E27" s="67">
        <v>3500</v>
      </c>
      <c r="F27" s="67">
        <v>12000</v>
      </c>
      <c r="G27" s="314">
        <f t="shared" si="10"/>
        <v>3000</v>
      </c>
      <c r="H27" s="211"/>
      <c r="I27" s="412" t="s">
        <v>405</v>
      </c>
      <c r="J27" s="211"/>
      <c r="K27" s="318">
        <v>832</v>
      </c>
      <c r="L27" s="319">
        <v>2000</v>
      </c>
      <c r="M27" s="319">
        <v>828</v>
      </c>
      <c r="N27" s="319">
        <v>828</v>
      </c>
      <c r="O27" s="319">
        <v>1200</v>
      </c>
      <c r="P27" s="319">
        <v>828</v>
      </c>
      <c r="Q27" s="319">
        <v>1000</v>
      </c>
      <c r="R27" s="319">
        <v>828</v>
      </c>
      <c r="S27" s="319">
        <v>828</v>
      </c>
      <c r="T27" s="319">
        <v>828</v>
      </c>
      <c r="U27" s="319">
        <v>2000</v>
      </c>
      <c r="V27" s="319">
        <v>0</v>
      </c>
      <c r="W27" s="432"/>
      <c r="X27" s="318">
        <f t="shared" si="16"/>
        <v>12000</v>
      </c>
    </row>
    <row r="28" spans="1:24" ht="15.75" customHeight="1">
      <c r="A28" s="128"/>
      <c r="B28" s="129" t="s">
        <v>406</v>
      </c>
      <c r="C28" s="166">
        <v>1000</v>
      </c>
      <c r="D28" s="351">
        <v>0</v>
      </c>
      <c r="E28" s="67">
        <v>50</v>
      </c>
      <c r="F28" s="67">
        <v>150</v>
      </c>
      <c r="G28" s="314">
        <f t="shared" si="10"/>
        <v>-850</v>
      </c>
      <c r="H28" s="211"/>
      <c r="I28" s="412" t="s">
        <v>407</v>
      </c>
      <c r="J28" s="211"/>
      <c r="K28" s="318">
        <v>25</v>
      </c>
      <c r="L28" s="319">
        <v>75</v>
      </c>
      <c r="M28" s="319">
        <v>0</v>
      </c>
      <c r="N28" s="319">
        <v>0</v>
      </c>
      <c r="O28" s="319">
        <v>0</v>
      </c>
      <c r="P28" s="319">
        <v>25</v>
      </c>
      <c r="Q28" s="319">
        <v>0</v>
      </c>
      <c r="R28" s="319">
        <v>0</v>
      </c>
      <c r="S28" s="319">
        <v>0</v>
      </c>
      <c r="T28" s="319">
        <v>0</v>
      </c>
      <c r="U28" s="319">
        <v>25</v>
      </c>
      <c r="V28" s="319">
        <v>0</v>
      </c>
      <c r="W28" s="432"/>
      <c r="X28" s="318">
        <f t="shared" si="16"/>
        <v>150</v>
      </c>
    </row>
    <row r="29" spans="1:24" ht="15.75" customHeight="1">
      <c r="A29" s="128"/>
      <c r="B29" s="129" t="s">
        <v>408</v>
      </c>
      <c r="C29" s="166">
        <v>1000</v>
      </c>
      <c r="D29" s="351">
        <v>0</v>
      </c>
      <c r="E29" s="67">
        <v>0</v>
      </c>
      <c r="F29" s="67">
        <v>500</v>
      </c>
      <c r="G29" s="314">
        <f t="shared" si="10"/>
        <v>-500</v>
      </c>
      <c r="H29" s="211"/>
      <c r="I29" s="412" t="s">
        <v>409</v>
      </c>
      <c r="J29" s="211"/>
      <c r="K29" s="318">
        <v>0</v>
      </c>
      <c r="L29" s="319">
        <v>400</v>
      </c>
      <c r="M29" s="319">
        <v>0</v>
      </c>
      <c r="N29" s="319">
        <v>0</v>
      </c>
      <c r="O29" s="319">
        <v>0</v>
      </c>
      <c r="P29" s="319">
        <v>100</v>
      </c>
      <c r="Q29" s="319">
        <v>0</v>
      </c>
      <c r="R29" s="319">
        <v>0</v>
      </c>
      <c r="S29" s="319">
        <v>0</v>
      </c>
      <c r="T29" s="319">
        <v>0</v>
      </c>
      <c r="U29" s="319">
        <v>0</v>
      </c>
      <c r="V29" s="319">
        <v>0</v>
      </c>
      <c r="W29" s="432"/>
      <c r="X29" s="318">
        <f t="shared" si="16"/>
        <v>500</v>
      </c>
    </row>
    <row r="30" spans="1:24" ht="16.5" customHeight="1">
      <c r="A30" s="128"/>
      <c r="B30" s="129" t="s">
        <v>410</v>
      </c>
      <c r="C30" s="320">
        <v>0</v>
      </c>
      <c r="D30" s="351">
        <v>11671</v>
      </c>
      <c r="E30" s="67">
        <v>3000</v>
      </c>
      <c r="F30" s="67">
        <v>0</v>
      </c>
      <c r="G30" s="314">
        <f t="shared" si="10"/>
        <v>0</v>
      </c>
      <c r="H30" s="211"/>
      <c r="I30" s="412" t="s">
        <v>411</v>
      </c>
      <c r="J30" s="211"/>
      <c r="K30" s="318">
        <v>0</v>
      </c>
      <c r="L30" s="319">
        <v>0</v>
      </c>
      <c r="M30" s="319">
        <v>0</v>
      </c>
      <c r="N30" s="319">
        <v>0</v>
      </c>
      <c r="O30" s="319">
        <v>0</v>
      </c>
      <c r="P30" s="319">
        <v>0</v>
      </c>
      <c r="Q30" s="319">
        <v>0</v>
      </c>
      <c r="R30" s="319">
        <v>0</v>
      </c>
      <c r="S30" s="319">
        <v>0</v>
      </c>
      <c r="T30" s="319">
        <v>0</v>
      </c>
      <c r="U30" s="319">
        <v>0</v>
      </c>
      <c r="V30" s="319">
        <v>0</v>
      </c>
      <c r="W30" s="446"/>
      <c r="X30" s="318">
        <f t="shared" si="16"/>
        <v>0</v>
      </c>
    </row>
    <row r="31" spans="1:24" ht="15.75" customHeight="1">
      <c r="A31" s="128"/>
      <c r="B31" s="128" t="s">
        <v>299</v>
      </c>
      <c r="C31" s="383">
        <f t="shared" ref="C31:F31" si="17">SUM(C32:C37)</f>
        <v>22600</v>
      </c>
      <c r="D31" s="383">
        <f t="shared" si="17"/>
        <v>10272</v>
      </c>
      <c r="E31" s="383">
        <f t="shared" si="17"/>
        <v>5200</v>
      </c>
      <c r="F31" s="383">
        <f t="shared" si="17"/>
        <v>26000</v>
      </c>
      <c r="G31" s="311">
        <f t="shared" si="10"/>
        <v>3400</v>
      </c>
      <c r="H31" s="219"/>
      <c r="I31" s="411"/>
      <c r="J31" s="219"/>
      <c r="K31" s="225">
        <f t="shared" ref="K31:V31" si="18">SUM(K32:K37)</f>
        <v>1955</v>
      </c>
      <c r="L31" s="225">
        <f t="shared" si="18"/>
        <v>2254</v>
      </c>
      <c r="M31" s="225">
        <f t="shared" si="18"/>
        <v>2254</v>
      </c>
      <c r="N31" s="225">
        <f t="shared" si="18"/>
        <v>2254</v>
      </c>
      <c r="O31" s="225">
        <f t="shared" si="18"/>
        <v>3209</v>
      </c>
      <c r="P31" s="225">
        <f t="shared" si="18"/>
        <v>2254</v>
      </c>
      <c r="Q31" s="225">
        <f t="shared" si="18"/>
        <v>2254</v>
      </c>
      <c r="R31" s="225">
        <f t="shared" si="18"/>
        <v>2254</v>
      </c>
      <c r="S31" s="225">
        <f t="shared" si="18"/>
        <v>2254</v>
      </c>
      <c r="T31" s="225">
        <f t="shared" si="18"/>
        <v>2254</v>
      </c>
      <c r="U31" s="225">
        <f t="shared" si="18"/>
        <v>2304</v>
      </c>
      <c r="V31" s="225">
        <f t="shared" si="18"/>
        <v>500</v>
      </c>
      <c r="W31" s="446"/>
      <c r="X31" s="225">
        <f>SUM(X32:X37)</f>
        <v>26000</v>
      </c>
    </row>
    <row r="32" spans="1:24" ht="15.75" customHeight="1">
      <c r="A32" s="129"/>
      <c r="B32" s="132" t="s">
        <v>379</v>
      </c>
      <c r="C32" s="166">
        <v>5000</v>
      </c>
      <c r="D32" s="351">
        <v>5785</v>
      </c>
      <c r="E32" s="67">
        <v>0</v>
      </c>
      <c r="F32" s="67">
        <v>6000</v>
      </c>
      <c r="G32" s="314">
        <f t="shared" si="10"/>
        <v>1000</v>
      </c>
      <c r="H32" s="211"/>
      <c r="I32" s="412" t="s">
        <v>412</v>
      </c>
      <c r="J32" s="211"/>
      <c r="K32" s="318">
        <v>500</v>
      </c>
      <c r="L32" s="319">
        <v>500</v>
      </c>
      <c r="M32" s="319">
        <v>500</v>
      </c>
      <c r="N32" s="319">
        <v>500</v>
      </c>
      <c r="O32" s="319">
        <v>500</v>
      </c>
      <c r="P32" s="319">
        <v>500</v>
      </c>
      <c r="Q32" s="319">
        <v>500</v>
      </c>
      <c r="R32" s="319">
        <v>500</v>
      </c>
      <c r="S32" s="319">
        <v>500</v>
      </c>
      <c r="T32" s="319">
        <v>500</v>
      </c>
      <c r="U32" s="319">
        <v>500</v>
      </c>
      <c r="V32" s="319">
        <v>500</v>
      </c>
      <c r="W32" s="432"/>
      <c r="X32" s="318">
        <f t="shared" ref="X32:X37" si="19">SUM(K32:V32)</f>
        <v>6000</v>
      </c>
    </row>
    <row r="33" spans="1:24" ht="30.75" customHeight="1">
      <c r="A33" s="129"/>
      <c r="B33" s="103" t="s">
        <v>268</v>
      </c>
      <c r="C33" s="166">
        <v>0</v>
      </c>
      <c r="D33" s="351">
        <v>0</v>
      </c>
      <c r="E33" s="67">
        <v>0</v>
      </c>
      <c r="F33" s="67">
        <v>7000</v>
      </c>
      <c r="G33" s="314">
        <f t="shared" si="10"/>
        <v>7000</v>
      </c>
      <c r="H33" s="211"/>
      <c r="I33" s="412" t="s">
        <v>382</v>
      </c>
      <c r="J33" s="211"/>
      <c r="K33" s="318"/>
      <c r="L33" s="319">
        <f t="shared" ref="L33:U33" si="20">$F$33/10</f>
        <v>700</v>
      </c>
      <c r="M33" s="319">
        <f t="shared" si="20"/>
        <v>700</v>
      </c>
      <c r="N33" s="319">
        <f t="shared" si="20"/>
        <v>700</v>
      </c>
      <c r="O33" s="319">
        <f t="shared" si="20"/>
        <v>700</v>
      </c>
      <c r="P33" s="319">
        <f t="shared" si="20"/>
        <v>700</v>
      </c>
      <c r="Q33" s="319">
        <f t="shared" si="20"/>
        <v>700</v>
      </c>
      <c r="R33" s="319">
        <f t="shared" si="20"/>
        <v>700</v>
      </c>
      <c r="S33" s="319">
        <f t="shared" si="20"/>
        <v>700</v>
      </c>
      <c r="T33" s="319">
        <f t="shared" si="20"/>
        <v>700</v>
      </c>
      <c r="U33" s="319">
        <f t="shared" si="20"/>
        <v>700</v>
      </c>
      <c r="V33" s="319"/>
      <c r="W33" s="432"/>
      <c r="X33" s="318">
        <f t="shared" si="19"/>
        <v>7000</v>
      </c>
    </row>
    <row r="34" spans="1:24" ht="30.75" customHeight="1">
      <c r="A34" s="129"/>
      <c r="B34" s="103" t="s">
        <v>384</v>
      </c>
      <c r="C34" s="166">
        <v>0</v>
      </c>
      <c r="D34" s="351">
        <v>966</v>
      </c>
      <c r="E34" s="67">
        <v>500</v>
      </c>
      <c r="F34" s="67">
        <v>1500</v>
      </c>
      <c r="G34" s="314">
        <f t="shared" si="10"/>
        <v>1500</v>
      </c>
      <c r="H34" s="211"/>
      <c r="I34" s="412" t="s">
        <v>413</v>
      </c>
      <c r="J34" s="211"/>
      <c r="K34" s="318">
        <v>45</v>
      </c>
      <c r="L34" s="319">
        <v>45</v>
      </c>
      <c r="M34" s="319">
        <v>45</v>
      </c>
      <c r="N34" s="319">
        <v>45</v>
      </c>
      <c r="O34" s="319">
        <v>1000</v>
      </c>
      <c r="P34" s="319">
        <v>45</v>
      </c>
      <c r="Q34" s="319">
        <v>45</v>
      </c>
      <c r="R34" s="319">
        <v>45</v>
      </c>
      <c r="S34" s="319">
        <v>45</v>
      </c>
      <c r="T34" s="319">
        <v>45</v>
      </c>
      <c r="U34" s="319">
        <v>95</v>
      </c>
      <c r="V34" s="319">
        <v>0</v>
      </c>
      <c r="W34" s="432"/>
      <c r="X34" s="318">
        <f t="shared" si="19"/>
        <v>1500</v>
      </c>
    </row>
    <row r="35" spans="1:24" ht="15.75" customHeight="1">
      <c r="A35" s="129"/>
      <c r="B35" s="132" t="s">
        <v>414</v>
      </c>
      <c r="C35" s="166">
        <v>0</v>
      </c>
      <c r="D35" s="351">
        <v>312</v>
      </c>
      <c r="E35" s="67">
        <v>200</v>
      </c>
      <c r="F35" s="67">
        <v>0</v>
      </c>
      <c r="G35" s="314">
        <f t="shared" si="10"/>
        <v>0</v>
      </c>
      <c r="H35" s="211"/>
      <c r="I35" s="412"/>
      <c r="J35" s="211"/>
      <c r="K35" s="318">
        <v>0</v>
      </c>
      <c r="L35" s="318">
        <v>0</v>
      </c>
      <c r="M35" s="318">
        <v>0</v>
      </c>
      <c r="N35" s="318">
        <v>0</v>
      </c>
      <c r="O35" s="318">
        <v>0</v>
      </c>
      <c r="P35" s="318">
        <v>0</v>
      </c>
      <c r="Q35" s="318">
        <v>0</v>
      </c>
      <c r="R35" s="318">
        <v>0</v>
      </c>
      <c r="S35" s="318">
        <v>0</v>
      </c>
      <c r="T35" s="318">
        <v>0</v>
      </c>
      <c r="U35" s="318">
        <v>0</v>
      </c>
      <c r="V35" s="319">
        <v>0</v>
      </c>
      <c r="W35" s="432"/>
      <c r="X35" s="318">
        <f t="shared" si="19"/>
        <v>0</v>
      </c>
    </row>
    <row r="36" spans="1:24" ht="72.75" customHeight="1">
      <c r="A36" s="129"/>
      <c r="B36" s="132" t="s">
        <v>275</v>
      </c>
      <c r="C36" s="166">
        <f>5700-3000+6900</f>
        <v>9600</v>
      </c>
      <c r="D36" s="351">
        <v>2226</v>
      </c>
      <c r="E36" s="67">
        <v>4000</v>
      </c>
      <c r="F36" s="67">
        <v>10000</v>
      </c>
      <c r="G36" s="314">
        <f t="shared" si="10"/>
        <v>400</v>
      </c>
      <c r="H36" s="211"/>
      <c r="I36" s="412" t="s">
        <v>415</v>
      </c>
      <c r="J36" s="211"/>
      <c r="K36" s="318">
        <v>910</v>
      </c>
      <c r="L36" s="319">
        <v>909</v>
      </c>
      <c r="M36" s="319">
        <v>909</v>
      </c>
      <c r="N36" s="319">
        <v>909</v>
      </c>
      <c r="O36" s="319">
        <v>909</v>
      </c>
      <c r="P36" s="319">
        <v>909</v>
      </c>
      <c r="Q36" s="319">
        <v>909</v>
      </c>
      <c r="R36" s="319">
        <v>909</v>
      </c>
      <c r="S36" s="319">
        <v>909</v>
      </c>
      <c r="T36" s="319">
        <v>909</v>
      </c>
      <c r="U36" s="319">
        <v>909</v>
      </c>
      <c r="V36" s="319">
        <v>0</v>
      </c>
      <c r="W36" s="432"/>
      <c r="X36" s="318">
        <f t="shared" si="19"/>
        <v>10000</v>
      </c>
    </row>
    <row r="37" spans="1:24" ht="37.5" customHeight="1">
      <c r="A37" s="129"/>
      <c r="B37" s="132" t="s">
        <v>262</v>
      </c>
      <c r="C37" s="166">
        <v>8000</v>
      </c>
      <c r="D37" s="351">
        <v>983</v>
      </c>
      <c r="E37" s="67">
        <v>500</v>
      </c>
      <c r="F37" s="67">
        <v>1500</v>
      </c>
      <c r="G37" s="314">
        <f t="shared" si="10"/>
        <v>-6500</v>
      </c>
      <c r="H37" s="211"/>
      <c r="I37" s="412" t="s">
        <v>416</v>
      </c>
      <c r="J37" s="211"/>
      <c r="K37" s="318">
        <v>500</v>
      </c>
      <c r="L37" s="319">
        <v>100</v>
      </c>
      <c r="M37" s="319">
        <v>100</v>
      </c>
      <c r="N37" s="319">
        <v>100</v>
      </c>
      <c r="O37" s="319">
        <v>100</v>
      </c>
      <c r="P37" s="319">
        <v>100</v>
      </c>
      <c r="Q37" s="319">
        <v>100</v>
      </c>
      <c r="R37" s="319">
        <v>100</v>
      </c>
      <c r="S37" s="319">
        <v>100</v>
      </c>
      <c r="T37" s="319">
        <v>100</v>
      </c>
      <c r="U37" s="319">
        <v>100</v>
      </c>
      <c r="V37" s="382"/>
      <c r="W37" s="432"/>
      <c r="X37" s="318">
        <f t="shared" si="19"/>
        <v>1500</v>
      </c>
    </row>
    <row r="38" spans="1:24" ht="15.75" customHeight="1">
      <c r="A38" s="128" t="s">
        <v>363</v>
      </c>
      <c r="B38" s="128"/>
      <c r="C38" s="321">
        <f t="shared" ref="C38:F38" si="21">C11+C12+C16+C31</f>
        <v>239600</v>
      </c>
      <c r="D38" s="321">
        <f t="shared" si="21"/>
        <v>115054</v>
      </c>
      <c r="E38" s="321">
        <f t="shared" si="21"/>
        <v>101689.14</v>
      </c>
      <c r="F38" s="321">
        <f t="shared" si="21"/>
        <v>224150</v>
      </c>
      <c r="G38" s="354">
        <f t="shared" si="10"/>
        <v>-15450</v>
      </c>
      <c r="H38" s="448"/>
      <c r="I38" s="449"/>
      <c r="J38" s="448"/>
      <c r="K38" s="450">
        <f t="shared" ref="K38:V38" si="22">K11+K12+K16+K31</f>
        <v>15512</v>
      </c>
      <c r="L38" s="450">
        <f t="shared" si="22"/>
        <v>18229</v>
      </c>
      <c r="M38" s="450">
        <f t="shared" si="22"/>
        <v>16577.555555555555</v>
      </c>
      <c r="N38" s="450">
        <f t="shared" si="22"/>
        <v>16077.555555555555</v>
      </c>
      <c r="O38" s="450">
        <f t="shared" si="22"/>
        <v>17554.555555555555</v>
      </c>
      <c r="P38" s="450">
        <f t="shared" si="22"/>
        <v>16002.555555555555</v>
      </c>
      <c r="Q38" s="450">
        <f t="shared" si="22"/>
        <v>16749.555555555555</v>
      </c>
      <c r="R38" s="450">
        <f t="shared" si="22"/>
        <v>15877.555555555555</v>
      </c>
      <c r="S38" s="450">
        <f t="shared" si="22"/>
        <v>22027.555555555555</v>
      </c>
      <c r="T38" s="450">
        <f t="shared" si="22"/>
        <v>51877.555555555555</v>
      </c>
      <c r="U38" s="450">
        <f t="shared" si="22"/>
        <v>17164.555555555555</v>
      </c>
      <c r="V38" s="450">
        <f t="shared" si="22"/>
        <v>500</v>
      </c>
      <c r="W38" s="451"/>
      <c r="X38" s="450">
        <f>X11+X12+X16+X31</f>
        <v>224150</v>
      </c>
    </row>
    <row r="39" spans="1:24" ht="15.75" customHeight="1">
      <c r="A39" s="129"/>
      <c r="B39" s="129"/>
      <c r="C39" s="292"/>
      <c r="D39" s="198"/>
      <c r="E39" s="198"/>
      <c r="F39" s="198"/>
      <c r="G39" s="198"/>
      <c r="H39" s="198"/>
      <c r="I39" s="198"/>
      <c r="J39" s="198"/>
      <c r="K39" s="198"/>
      <c r="L39" s="210"/>
      <c r="M39" s="196"/>
      <c r="N39" s="196"/>
      <c r="O39" s="196"/>
      <c r="P39" s="196"/>
      <c r="Q39" s="196"/>
      <c r="R39" s="196"/>
      <c r="S39" s="196"/>
      <c r="T39" s="196"/>
      <c r="U39" s="196"/>
      <c r="V39" s="196"/>
      <c r="W39" s="275"/>
      <c r="X39" s="275"/>
    </row>
    <row r="40" spans="1:24" ht="15.75" hidden="1" customHeight="1">
      <c r="A40" s="276" t="s">
        <v>291</v>
      </c>
      <c r="B40" s="129"/>
      <c r="C40" s="292"/>
      <c r="D40" s="210"/>
      <c r="E40" s="210"/>
      <c r="F40" s="210"/>
      <c r="G40" s="210"/>
      <c r="H40" s="210"/>
      <c r="I40" s="210"/>
      <c r="J40" s="210"/>
      <c r="K40" s="326">
        <f>K8-K38</f>
        <v>-15512</v>
      </c>
      <c r="L40" s="326"/>
      <c r="M40" s="278">
        <f>M8-M38</f>
        <v>-12577.555555555555</v>
      </c>
      <c r="N40" s="278"/>
      <c r="O40" s="278">
        <f>O8-O38</f>
        <v>-14554.555555555555</v>
      </c>
      <c r="P40" s="278"/>
      <c r="Q40" s="278">
        <f>Q8-Q38</f>
        <v>-12649.555555555555</v>
      </c>
      <c r="R40" s="278"/>
      <c r="S40" s="278">
        <f>S8-S38</f>
        <v>-17927.555555555555</v>
      </c>
      <c r="T40" s="278"/>
      <c r="U40" s="278">
        <f>U8-U38</f>
        <v>-17164.555555555555</v>
      </c>
      <c r="V40" s="278"/>
      <c r="W40" s="279"/>
      <c r="X40" s="279"/>
    </row>
    <row r="41" spans="1:24" ht="15.75" hidden="1" customHeight="1">
      <c r="A41" s="128"/>
      <c r="B41" s="129"/>
      <c r="C41" s="292"/>
      <c r="D41" s="132"/>
      <c r="E41" s="132"/>
      <c r="F41" s="132"/>
      <c r="G41" s="132"/>
      <c r="H41" s="132"/>
      <c r="I41" s="132"/>
      <c r="J41" s="132"/>
      <c r="K41" s="132"/>
      <c r="L41" s="210"/>
      <c r="M41" s="129"/>
      <c r="N41" s="129"/>
      <c r="O41" s="129"/>
      <c r="P41" s="129"/>
      <c r="Q41" s="129"/>
      <c r="R41" s="129"/>
      <c r="S41" s="129"/>
      <c r="T41" s="129"/>
      <c r="U41" s="129"/>
      <c r="V41" s="129"/>
      <c r="W41" s="275"/>
      <c r="X41" s="275"/>
    </row>
    <row r="42" spans="1:24" ht="15.75" hidden="1" customHeight="1">
      <c r="C42" s="328"/>
      <c r="D42" s="289"/>
      <c r="E42" s="289"/>
      <c r="F42" s="289"/>
      <c r="G42" s="289"/>
      <c r="H42" s="289"/>
      <c r="I42" s="289"/>
      <c r="J42" s="289"/>
      <c r="K42" s="289"/>
      <c r="L42" s="422"/>
      <c r="M42" s="289"/>
      <c r="N42" s="289"/>
      <c r="O42" s="289"/>
      <c r="P42" s="289"/>
      <c r="Q42" s="289"/>
      <c r="R42" s="289"/>
      <c r="S42" s="289"/>
      <c r="T42" s="289"/>
      <c r="U42" s="289"/>
      <c r="V42" s="289"/>
      <c r="W42" s="107"/>
      <c r="X42" s="107"/>
    </row>
    <row r="43" spans="1:24" ht="15.75" hidden="1" customHeight="1">
      <c r="C43" s="328"/>
      <c r="D43" s="289"/>
      <c r="E43" s="289"/>
      <c r="F43" s="289"/>
      <c r="G43" s="289"/>
      <c r="H43" s="289"/>
      <c r="I43" s="289"/>
      <c r="J43" s="289"/>
      <c r="K43" s="289"/>
      <c r="L43" s="422"/>
      <c r="M43" s="289"/>
      <c r="N43" s="289"/>
      <c r="O43" s="289"/>
      <c r="P43" s="289"/>
      <c r="Q43" s="289"/>
      <c r="R43" s="289"/>
      <c r="S43" s="289"/>
      <c r="T43" s="289"/>
      <c r="U43" s="289"/>
      <c r="V43" s="289"/>
      <c r="W43" s="107"/>
      <c r="X43" s="107"/>
    </row>
    <row r="44" spans="1:24" ht="15.75" hidden="1" customHeight="1">
      <c r="C44" s="328"/>
      <c r="D44" s="289"/>
      <c r="E44" s="289"/>
      <c r="F44" s="289"/>
      <c r="G44" s="289"/>
      <c r="H44" s="289"/>
      <c r="I44" s="289"/>
      <c r="J44" s="289"/>
      <c r="K44" s="289"/>
      <c r="L44" s="422"/>
      <c r="M44" s="289"/>
      <c r="N44" s="289"/>
      <c r="O44" s="289"/>
      <c r="P44" s="289"/>
      <c r="Q44" s="289"/>
      <c r="R44" s="289"/>
      <c r="S44" s="289"/>
      <c r="T44" s="289"/>
      <c r="U44" s="289"/>
      <c r="V44" s="289"/>
      <c r="W44" s="107"/>
      <c r="X44" s="107"/>
    </row>
    <row r="45" spans="1:24" ht="15.75" hidden="1" customHeight="1">
      <c r="C45" s="328"/>
      <c r="D45" s="289"/>
      <c r="E45" s="289"/>
      <c r="F45" s="289"/>
      <c r="G45" s="289"/>
      <c r="H45" s="289"/>
      <c r="I45" s="289"/>
      <c r="J45" s="289"/>
      <c r="K45" s="289"/>
      <c r="L45" s="422"/>
      <c r="M45" s="289"/>
      <c r="N45" s="289"/>
      <c r="O45" s="289"/>
      <c r="P45" s="289"/>
      <c r="Q45" s="289"/>
      <c r="R45" s="289"/>
      <c r="S45" s="289"/>
      <c r="T45" s="289"/>
      <c r="U45" s="289"/>
      <c r="V45" s="289"/>
      <c r="W45" s="107"/>
      <c r="X45" s="107"/>
    </row>
    <row r="46" spans="1:24" ht="15.75" hidden="1" customHeight="1">
      <c r="C46" s="328"/>
      <c r="D46" s="289"/>
      <c r="E46" s="289"/>
      <c r="F46" s="289"/>
      <c r="G46" s="289"/>
      <c r="H46" s="289"/>
      <c r="I46" s="289"/>
      <c r="J46" s="289"/>
      <c r="K46" s="289"/>
      <c r="L46" s="422"/>
      <c r="M46" s="289"/>
      <c r="N46" s="289"/>
      <c r="O46" s="289"/>
      <c r="P46" s="289"/>
      <c r="Q46" s="289"/>
      <c r="R46" s="289"/>
      <c r="S46" s="289"/>
      <c r="T46" s="289"/>
      <c r="U46" s="289"/>
      <c r="V46" s="289"/>
      <c r="W46" s="107"/>
      <c r="X46" s="107"/>
    </row>
    <row r="47" spans="1:24" ht="15.75" customHeight="1">
      <c r="C47" s="328"/>
      <c r="D47" s="289"/>
      <c r="E47" s="289"/>
      <c r="F47" s="289"/>
      <c r="G47" s="289"/>
      <c r="H47" s="289"/>
      <c r="I47" s="289"/>
      <c r="J47" s="289"/>
      <c r="K47" s="289"/>
      <c r="L47" s="422"/>
      <c r="M47" s="289"/>
      <c r="N47" s="289"/>
      <c r="O47" s="289"/>
      <c r="P47" s="289"/>
      <c r="Q47" s="289"/>
      <c r="R47" s="289"/>
      <c r="S47" s="289"/>
      <c r="T47" s="289"/>
      <c r="U47" s="289"/>
      <c r="V47" s="289"/>
      <c r="W47" s="107"/>
      <c r="X47" s="107"/>
    </row>
    <row r="48" spans="1:24" ht="15.75" customHeight="1">
      <c r="C48" s="328"/>
      <c r="D48" s="289"/>
      <c r="E48" s="289"/>
      <c r="F48" s="289"/>
      <c r="G48" s="289"/>
      <c r="H48" s="289"/>
      <c r="I48" s="289"/>
      <c r="J48" s="289"/>
      <c r="K48" s="289"/>
      <c r="L48" s="422"/>
      <c r="M48" s="289"/>
      <c r="N48" s="289"/>
      <c r="O48" s="289"/>
      <c r="P48" s="289"/>
      <c r="Q48" s="289"/>
      <c r="R48" s="289"/>
      <c r="S48" s="289"/>
      <c r="T48" s="289"/>
      <c r="U48" s="289"/>
      <c r="V48" s="289"/>
      <c r="W48" s="107"/>
      <c r="X48" s="107"/>
    </row>
    <row r="49" spans="3:24" ht="15.75" customHeight="1">
      <c r="C49" s="328"/>
      <c r="D49" s="289"/>
      <c r="E49" s="289"/>
      <c r="F49" s="289"/>
      <c r="G49" s="289"/>
      <c r="H49" s="289"/>
      <c r="I49" s="289"/>
      <c r="J49" s="289"/>
      <c r="K49" s="289"/>
      <c r="L49" s="422"/>
      <c r="M49" s="289"/>
      <c r="N49" s="289"/>
      <c r="O49" s="289"/>
      <c r="P49" s="289"/>
      <c r="Q49" s="289"/>
      <c r="R49" s="289"/>
      <c r="S49" s="289"/>
      <c r="T49" s="289"/>
      <c r="U49" s="289"/>
      <c r="V49" s="289"/>
      <c r="W49" s="107"/>
      <c r="X49" s="107"/>
    </row>
    <row r="50" spans="3:24" ht="15.75" customHeight="1">
      <c r="C50" s="328"/>
      <c r="D50" s="289"/>
      <c r="E50" s="289"/>
      <c r="F50" s="289"/>
      <c r="G50" s="289"/>
      <c r="H50" s="289"/>
      <c r="I50" s="289"/>
      <c r="J50" s="289"/>
      <c r="K50" s="289"/>
      <c r="L50" s="422"/>
      <c r="M50" s="289"/>
      <c r="N50" s="289"/>
      <c r="O50" s="289"/>
      <c r="P50" s="289"/>
      <c r="Q50" s="289"/>
      <c r="R50" s="289"/>
      <c r="S50" s="289"/>
      <c r="T50" s="289"/>
      <c r="U50" s="289"/>
      <c r="V50" s="289"/>
      <c r="W50" s="107"/>
      <c r="X50" s="107"/>
    </row>
    <row r="51" spans="3:24" ht="15.75" customHeight="1">
      <c r="C51" s="328"/>
      <c r="D51" s="289"/>
      <c r="E51" s="289"/>
      <c r="F51" s="289"/>
      <c r="G51" s="289"/>
      <c r="H51" s="289"/>
      <c r="I51" s="289"/>
      <c r="J51" s="289"/>
      <c r="K51" s="289"/>
      <c r="L51" s="422"/>
      <c r="M51" s="289"/>
      <c r="N51" s="289"/>
      <c r="O51" s="289"/>
      <c r="P51" s="289"/>
      <c r="Q51" s="289"/>
      <c r="R51" s="289"/>
      <c r="S51" s="289"/>
      <c r="T51" s="289"/>
      <c r="U51" s="289"/>
      <c r="V51" s="289"/>
      <c r="W51" s="107"/>
      <c r="X51" s="107"/>
    </row>
    <row r="52" spans="3:24" ht="15.75" customHeight="1">
      <c r="C52" s="328"/>
      <c r="D52" s="289"/>
      <c r="E52" s="289"/>
      <c r="F52" s="289"/>
      <c r="G52" s="289"/>
      <c r="H52" s="289"/>
      <c r="I52" s="289"/>
      <c r="J52" s="289"/>
      <c r="K52" s="289"/>
      <c r="L52" s="422"/>
      <c r="M52" s="289"/>
      <c r="N52" s="289"/>
      <c r="O52" s="289"/>
      <c r="P52" s="289"/>
      <c r="Q52" s="289"/>
      <c r="R52" s="289"/>
      <c r="S52" s="289"/>
      <c r="T52" s="289"/>
      <c r="U52" s="289"/>
      <c r="V52" s="289"/>
      <c r="W52" s="107"/>
      <c r="X52" s="107"/>
    </row>
    <row r="53" spans="3:24" ht="15.75" customHeight="1">
      <c r="C53" s="328"/>
      <c r="D53" s="289"/>
      <c r="E53" s="289"/>
      <c r="F53" s="289"/>
      <c r="G53" s="289"/>
      <c r="H53" s="289"/>
      <c r="I53" s="289"/>
      <c r="J53" s="289"/>
      <c r="K53" s="289"/>
      <c r="L53" s="422"/>
      <c r="M53" s="289"/>
      <c r="N53" s="289"/>
      <c r="O53" s="289"/>
      <c r="P53" s="289"/>
      <c r="Q53" s="289"/>
      <c r="R53" s="289"/>
      <c r="S53" s="289"/>
      <c r="T53" s="289"/>
      <c r="U53" s="289"/>
      <c r="V53" s="289"/>
      <c r="W53" s="107"/>
      <c r="X53" s="107"/>
    </row>
    <row r="54" spans="3:24" ht="15.75" customHeight="1">
      <c r="C54" s="328"/>
      <c r="D54" s="289"/>
      <c r="E54" s="289"/>
      <c r="F54" s="289"/>
      <c r="G54" s="289"/>
      <c r="H54" s="289"/>
      <c r="I54" s="289"/>
      <c r="J54" s="289"/>
      <c r="K54" s="289"/>
      <c r="L54" s="422"/>
      <c r="M54" s="289"/>
      <c r="N54" s="289"/>
      <c r="O54" s="289"/>
      <c r="P54" s="289"/>
      <c r="Q54" s="289"/>
      <c r="R54" s="289"/>
      <c r="S54" s="289"/>
      <c r="T54" s="289"/>
      <c r="U54" s="289"/>
      <c r="V54" s="289"/>
      <c r="W54" s="107"/>
      <c r="X54" s="107"/>
    </row>
    <row r="55" spans="3:24" ht="15.75" customHeight="1">
      <c r="C55" s="328"/>
      <c r="D55" s="289"/>
      <c r="E55" s="289"/>
      <c r="F55" s="289"/>
      <c r="G55" s="289"/>
      <c r="H55" s="289"/>
      <c r="I55" s="289"/>
      <c r="J55" s="289"/>
      <c r="K55" s="289"/>
      <c r="L55" s="422"/>
      <c r="M55" s="289"/>
      <c r="N55" s="289"/>
      <c r="O55" s="289"/>
      <c r="P55" s="289"/>
      <c r="Q55" s="289"/>
      <c r="R55" s="289"/>
      <c r="S55" s="289"/>
      <c r="T55" s="289"/>
      <c r="U55" s="289"/>
      <c r="V55" s="289"/>
      <c r="W55" s="107"/>
      <c r="X55" s="107"/>
    </row>
    <row r="56" spans="3:24" ht="15.75" customHeight="1">
      <c r="C56" s="328"/>
      <c r="D56" s="289"/>
      <c r="E56" s="289"/>
      <c r="F56" s="289"/>
      <c r="G56" s="289"/>
      <c r="H56" s="289"/>
      <c r="I56" s="289"/>
      <c r="J56" s="289"/>
      <c r="K56" s="289"/>
      <c r="L56" s="422"/>
      <c r="M56" s="289"/>
      <c r="N56" s="289"/>
      <c r="O56" s="289"/>
      <c r="P56" s="289"/>
      <c r="Q56" s="289"/>
      <c r="R56" s="289"/>
      <c r="S56" s="289"/>
      <c r="T56" s="289"/>
      <c r="U56" s="289"/>
      <c r="V56" s="289"/>
      <c r="W56" s="107"/>
      <c r="X56" s="107"/>
    </row>
    <row r="57" spans="3:24" ht="15.75" customHeight="1">
      <c r="C57" s="328"/>
      <c r="D57" s="289"/>
      <c r="E57" s="289"/>
      <c r="F57" s="289"/>
      <c r="G57" s="289"/>
      <c r="H57" s="289"/>
      <c r="I57" s="289"/>
      <c r="J57" s="289"/>
      <c r="K57" s="289"/>
      <c r="L57" s="422"/>
      <c r="M57" s="289"/>
      <c r="N57" s="289"/>
      <c r="O57" s="289"/>
      <c r="P57" s="289"/>
      <c r="Q57" s="289"/>
      <c r="R57" s="289"/>
      <c r="S57" s="289"/>
      <c r="T57" s="289"/>
      <c r="U57" s="289"/>
      <c r="V57" s="289"/>
      <c r="W57" s="107"/>
      <c r="X57" s="107"/>
    </row>
    <row r="58" spans="3:24" ht="15.75" customHeight="1">
      <c r="C58" s="328"/>
      <c r="D58" s="289"/>
      <c r="E58" s="289"/>
      <c r="F58" s="289"/>
      <c r="G58" s="289"/>
      <c r="H58" s="289"/>
      <c r="I58" s="289"/>
      <c r="J58" s="289"/>
      <c r="K58" s="289"/>
      <c r="L58" s="422"/>
      <c r="M58" s="289"/>
      <c r="N58" s="289"/>
      <c r="O58" s="289"/>
      <c r="P58" s="289"/>
      <c r="Q58" s="289"/>
      <c r="R58" s="289"/>
      <c r="S58" s="289"/>
      <c r="T58" s="289"/>
      <c r="U58" s="289"/>
      <c r="V58" s="289"/>
      <c r="W58" s="107"/>
      <c r="X58" s="107"/>
    </row>
    <row r="59" spans="3:24" ht="15.75" customHeight="1">
      <c r="C59" s="328"/>
      <c r="D59" s="289"/>
      <c r="E59" s="289"/>
      <c r="F59" s="289"/>
      <c r="G59" s="289"/>
      <c r="H59" s="289"/>
      <c r="I59" s="289"/>
      <c r="J59" s="289"/>
      <c r="K59" s="289"/>
      <c r="L59" s="422"/>
      <c r="M59" s="289"/>
      <c r="N59" s="289"/>
      <c r="O59" s="289"/>
      <c r="P59" s="289"/>
      <c r="Q59" s="289"/>
      <c r="R59" s="289"/>
      <c r="S59" s="289"/>
      <c r="T59" s="289"/>
      <c r="U59" s="289"/>
      <c r="V59" s="289"/>
      <c r="W59" s="107"/>
      <c r="X59" s="107"/>
    </row>
    <row r="60" spans="3:24" ht="15.75" customHeight="1">
      <c r="C60" s="328"/>
      <c r="D60" s="289"/>
      <c r="E60" s="289"/>
      <c r="F60" s="289"/>
      <c r="G60" s="289"/>
      <c r="H60" s="289"/>
      <c r="I60" s="289"/>
      <c r="J60" s="289"/>
      <c r="K60" s="289"/>
      <c r="L60" s="422"/>
      <c r="M60" s="289"/>
      <c r="N60" s="289"/>
      <c r="O60" s="289"/>
      <c r="P60" s="289"/>
      <c r="Q60" s="289"/>
      <c r="R60" s="289"/>
      <c r="S60" s="289"/>
      <c r="T60" s="289"/>
      <c r="U60" s="289"/>
      <c r="V60" s="289"/>
      <c r="W60" s="107"/>
      <c r="X60" s="107"/>
    </row>
    <row r="61" spans="3:24" ht="15.75" customHeight="1">
      <c r="C61" s="328"/>
      <c r="D61" s="289"/>
      <c r="E61" s="289"/>
      <c r="F61" s="289"/>
      <c r="G61" s="289"/>
      <c r="H61" s="289"/>
      <c r="I61" s="289"/>
      <c r="J61" s="289"/>
      <c r="K61" s="289"/>
      <c r="L61" s="422"/>
      <c r="M61" s="289"/>
      <c r="N61" s="289"/>
      <c r="O61" s="289"/>
      <c r="P61" s="289"/>
      <c r="Q61" s="289"/>
      <c r="R61" s="289"/>
      <c r="S61" s="289"/>
      <c r="T61" s="289"/>
      <c r="U61" s="289"/>
      <c r="V61" s="289"/>
      <c r="W61" s="107"/>
      <c r="X61" s="107"/>
    </row>
    <row r="62" spans="3:24" ht="15.75" customHeight="1">
      <c r="C62" s="328"/>
      <c r="D62" s="289"/>
      <c r="E62" s="289"/>
      <c r="F62" s="289"/>
      <c r="G62" s="289"/>
      <c r="H62" s="289"/>
      <c r="I62" s="289"/>
      <c r="J62" s="289"/>
      <c r="K62" s="289"/>
      <c r="L62" s="422"/>
      <c r="M62" s="289"/>
      <c r="N62" s="289"/>
      <c r="O62" s="289"/>
      <c r="P62" s="289"/>
      <c r="Q62" s="289"/>
      <c r="R62" s="289"/>
      <c r="S62" s="289"/>
      <c r="T62" s="289"/>
      <c r="U62" s="289"/>
      <c r="V62" s="289"/>
      <c r="W62" s="107"/>
      <c r="X62" s="107"/>
    </row>
    <row r="63" spans="3:24" ht="15.75" customHeight="1">
      <c r="C63" s="328"/>
      <c r="D63" s="289"/>
      <c r="E63" s="289"/>
      <c r="F63" s="289"/>
      <c r="G63" s="289"/>
      <c r="H63" s="289"/>
      <c r="I63" s="289"/>
      <c r="J63" s="289"/>
      <c r="K63" s="289"/>
      <c r="L63" s="422"/>
      <c r="M63" s="289"/>
      <c r="N63" s="289"/>
      <c r="O63" s="289"/>
      <c r="P63" s="289"/>
      <c r="Q63" s="289"/>
      <c r="R63" s="289"/>
      <c r="S63" s="289"/>
      <c r="T63" s="289"/>
      <c r="U63" s="289"/>
      <c r="V63" s="289"/>
      <c r="W63" s="107"/>
      <c r="X63" s="107"/>
    </row>
    <row r="64" spans="3:24" ht="15.75" customHeight="1">
      <c r="C64" s="328"/>
      <c r="D64" s="289"/>
      <c r="E64" s="289"/>
      <c r="F64" s="289"/>
      <c r="G64" s="289"/>
      <c r="H64" s="289"/>
      <c r="I64" s="289"/>
      <c r="J64" s="289"/>
      <c r="K64" s="289"/>
      <c r="L64" s="422"/>
      <c r="M64" s="289"/>
      <c r="N64" s="289"/>
      <c r="O64" s="289"/>
      <c r="P64" s="289"/>
      <c r="Q64" s="289"/>
      <c r="R64" s="289"/>
      <c r="S64" s="289"/>
      <c r="T64" s="289"/>
      <c r="U64" s="289"/>
      <c r="V64" s="289"/>
      <c r="W64" s="107"/>
      <c r="X64" s="107"/>
    </row>
    <row r="65" spans="3:24" ht="15.75" customHeight="1">
      <c r="C65" s="328"/>
      <c r="D65" s="289"/>
      <c r="E65" s="289"/>
      <c r="F65" s="289"/>
      <c r="G65" s="289"/>
      <c r="H65" s="289"/>
      <c r="I65" s="289"/>
      <c r="J65" s="289"/>
      <c r="K65" s="289"/>
      <c r="L65" s="422"/>
      <c r="M65" s="289"/>
      <c r="N65" s="289"/>
      <c r="O65" s="289"/>
      <c r="P65" s="289"/>
      <c r="Q65" s="289"/>
      <c r="R65" s="289"/>
      <c r="S65" s="289"/>
      <c r="T65" s="289"/>
      <c r="U65" s="289"/>
      <c r="V65" s="289"/>
      <c r="W65" s="107"/>
      <c r="X65" s="107"/>
    </row>
    <row r="66" spans="3:24" ht="15.75" customHeight="1">
      <c r="C66" s="328"/>
      <c r="D66" s="289"/>
      <c r="E66" s="289"/>
      <c r="F66" s="289"/>
      <c r="G66" s="289"/>
      <c r="H66" s="289"/>
      <c r="I66" s="289"/>
      <c r="J66" s="289"/>
      <c r="K66" s="289"/>
      <c r="L66" s="422"/>
      <c r="M66" s="289"/>
      <c r="N66" s="289"/>
      <c r="O66" s="289"/>
      <c r="P66" s="289"/>
      <c r="Q66" s="289"/>
      <c r="R66" s="289"/>
      <c r="S66" s="289"/>
      <c r="T66" s="289"/>
      <c r="U66" s="289"/>
      <c r="V66" s="289"/>
      <c r="W66" s="107"/>
      <c r="X66" s="107"/>
    </row>
    <row r="67" spans="3:24" ht="15.75" customHeight="1">
      <c r="C67" s="328"/>
      <c r="D67" s="289"/>
      <c r="E67" s="289"/>
      <c r="F67" s="289"/>
      <c r="G67" s="289"/>
      <c r="H67" s="289"/>
      <c r="I67" s="289"/>
      <c r="J67" s="289"/>
      <c r="K67" s="289"/>
      <c r="L67" s="422"/>
      <c r="M67" s="289"/>
      <c r="N67" s="289"/>
      <c r="O67" s="289"/>
      <c r="P67" s="289"/>
      <c r="Q67" s="289"/>
      <c r="R67" s="289"/>
      <c r="S67" s="289"/>
      <c r="T67" s="289"/>
      <c r="U67" s="289"/>
      <c r="V67" s="289"/>
      <c r="W67" s="107"/>
      <c r="X67" s="107"/>
    </row>
    <row r="68" spans="3:24" ht="15.75" customHeight="1">
      <c r="C68" s="328"/>
      <c r="D68" s="289"/>
      <c r="E68" s="289"/>
      <c r="F68" s="289"/>
      <c r="G68" s="289"/>
      <c r="H68" s="289"/>
      <c r="I68" s="289"/>
      <c r="J68" s="289"/>
      <c r="K68" s="289"/>
      <c r="L68" s="422"/>
      <c r="M68" s="289"/>
      <c r="N68" s="289"/>
      <c r="O68" s="289"/>
      <c r="P68" s="289"/>
      <c r="Q68" s="289"/>
      <c r="R68" s="289"/>
      <c r="S68" s="289"/>
      <c r="T68" s="289"/>
      <c r="U68" s="289"/>
      <c r="V68" s="289"/>
      <c r="W68" s="107"/>
      <c r="X68" s="107"/>
    </row>
    <row r="69" spans="3:24" ht="15.75" customHeight="1">
      <c r="C69" s="328"/>
      <c r="D69" s="289"/>
      <c r="E69" s="289"/>
      <c r="F69" s="289"/>
      <c r="G69" s="289"/>
      <c r="H69" s="289"/>
      <c r="I69" s="289"/>
      <c r="J69" s="289"/>
      <c r="K69" s="289"/>
      <c r="L69" s="422"/>
      <c r="M69" s="289"/>
      <c r="N69" s="289"/>
      <c r="O69" s="289"/>
      <c r="P69" s="289"/>
      <c r="Q69" s="289"/>
      <c r="R69" s="289"/>
      <c r="S69" s="289"/>
      <c r="T69" s="289"/>
      <c r="U69" s="289"/>
      <c r="V69" s="289"/>
      <c r="W69" s="107"/>
      <c r="X69" s="107"/>
    </row>
    <row r="70" spans="3:24" ht="15.75" customHeight="1">
      <c r="C70" s="328"/>
      <c r="D70" s="289"/>
      <c r="E70" s="289"/>
      <c r="F70" s="289"/>
      <c r="G70" s="289"/>
      <c r="H70" s="289"/>
      <c r="I70" s="289"/>
      <c r="J70" s="289"/>
      <c r="K70" s="289"/>
      <c r="L70" s="422"/>
      <c r="M70" s="289"/>
      <c r="N70" s="289"/>
      <c r="O70" s="289"/>
      <c r="P70" s="289"/>
      <c r="Q70" s="289"/>
      <c r="R70" s="289"/>
      <c r="S70" s="289"/>
      <c r="T70" s="289"/>
      <c r="U70" s="289"/>
      <c r="V70" s="289"/>
      <c r="W70" s="107"/>
      <c r="X70" s="107"/>
    </row>
    <row r="71" spans="3:24" ht="15.75" customHeight="1">
      <c r="C71" s="328"/>
      <c r="D71" s="289"/>
      <c r="E71" s="289"/>
      <c r="F71" s="289"/>
      <c r="G71" s="289"/>
      <c r="H71" s="289"/>
      <c r="I71" s="289"/>
      <c r="J71" s="289"/>
      <c r="K71" s="289"/>
      <c r="L71" s="422"/>
      <c r="M71" s="289"/>
      <c r="N71" s="289"/>
      <c r="O71" s="289"/>
      <c r="P71" s="289"/>
      <c r="Q71" s="289"/>
      <c r="R71" s="289"/>
      <c r="S71" s="289"/>
      <c r="T71" s="289"/>
      <c r="U71" s="289"/>
      <c r="V71" s="289"/>
      <c r="W71" s="107"/>
      <c r="X71" s="107"/>
    </row>
    <row r="72" spans="3:24" ht="15.75" customHeight="1">
      <c r="C72" s="328"/>
      <c r="D72" s="289"/>
      <c r="E72" s="289"/>
      <c r="F72" s="289"/>
      <c r="G72" s="289"/>
      <c r="H72" s="289"/>
      <c r="I72" s="289"/>
      <c r="J72" s="289"/>
      <c r="K72" s="289"/>
      <c r="L72" s="422"/>
      <c r="M72" s="289"/>
      <c r="N72" s="289"/>
      <c r="O72" s="289"/>
      <c r="P72" s="289"/>
      <c r="Q72" s="289"/>
      <c r="R72" s="289"/>
      <c r="S72" s="289"/>
      <c r="T72" s="289"/>
      <c r="U72" s="289"/>
      <c r="V72" s="289"/>
      <c r="W72" s="107"/>
      <c r="X72" s="107"/>
    </row>
    <row r="73" spans="3:24" ht="15.75" customHeight="1">
      <c r="C73" s="328"/>
      <c r="D73" s="289"/>
      <c r="E73" s="289"/>
      <c r="F73" s="289"/>
      <c r="G73" s="289"/>
      <c r="H73" s="289"/>
      <c r="I73" s="289"/>
      <c r="J73" s="289"/>
      <c r="K73" s="289"/>
      <c r="L73" s="422"/>
      <c r="M73" s="289"/>
      <c r="N73" s="289"/>
      <c r="O73" s="289"/>
      <c r="P73" s="289"/>
      <c r="Q73" s="289"/>
      <c r="R73" s="289"/>
      <c r="S73" s="289"/>
      <c r="T73" s="289"/>
      <c r="U73" s="289"/>
      <c r="V73" s="289"/>
      <c r="W73" s="107"/>
      <c r="X73" s="107"/>
    </row>
    <row r="74" spans="3:24" ht="15.75" customHeight="1">
      <c r="C74" s="328"/>
      <c r="D74" s="289"/>
      <c r="E74" s="289"/>
      <c r="F74" s="289"/>
      <c r="G74" s="289"/>
      <c r="H74" s="289"/>
      <c r="I74" s="289"/>
      <c r="J74" s="289"/>
      <c r="K74" s="289"/>
      <c r="L74" s="422"/>
      <c r="M74" s="289"/>
      <c r="N74" s="289"/>
      <c r="O74" s="289"/>
      <c r="P74" s="289"/>
      <c r="Q74" s="289"/>
      <c r="R74" s="289"/>
      <c r="S74" s="289"/>
      <c r="T74" s="289"/>
      <c r="U74" s="289"/>
      <c r="V74" s="289"/>
      <c r="W74" s="107"/>
      <c r="X74" s="107"/>
    </row>
    <row r="75" spans="3:24" ht="15.75" customHeight="1">
      <c r="C75" s="328"/>
      <c r="D75" s="289"/>
      <c r="E75" s="289"/>
      <c r="F75" s="289"/>
      <c r="G75" s="289"/>
      <c r="H75" s="289"/>
      <c r="I75" s="289"/>
      <c r="J75" s="289"/>
      <c r="K75" s="289"/>
      <c r="L75" s="422"/>
      <c r="M75" s="289"/>
      <c r="N75" s="289"/>
      <c r="O75" s="289"/>
      <c r="P75" s="289"/>
      <c r="Q75" s="289"/>
      <c r="R75" s="289"/>
      <c r="S75" s="289"/>
      <c r="T75" s="289"/>
      <c r="U75" s="289"/>
      <c r="V75" s="289"/>
      <c r="W75" s="107"/>
      <c r="X75" s="107"/>
    </row>
    <row r="76" spans="3:24" ht="15.75" customHeight="1">
      <c r="C76" s="328"/>
      <c r="D76" s="289"/>
      <c r="E76" s="289"/>
      <c r="F76" s="289"/>
      <c r="G76" s="289"/>
      <c r="H76" s="289"/>
      <c r="I76" s="289"/>
      <c r="J76" s="289"/>
      <c r="K76" s="289"/>
      <c r="L76" s="422"/>
      <c r="M76" s="289"/>
      <c r="N76" s="289"/>
      <c r="O76" s="289"/>
      <c r="P76" s="289"/>
      <c r="Q76" s="289"/>
      <c r="R76" s="289"/>
      <c r="S76" s="289"/>
      <c r="T76" s="289"/>
      <c r="U76" s="289"/>
      <c r="V76" s="289"/>
      <c r="W76" s="107"/>
      <c r="X76" s="107"/>
    </row>
    <row r="77" spans="3:24" ht="15.75" customHeight="1">
      <c r="C77" s="328"/>
      <c r="D77" s="289"/>
      <c r="E77" s="289"/>
      <c r="F77" s="289"/>
      <c r="G77" s="289"/>
      <c r="H77" s="289"/>
      <c r="I77" s="289"/>
      <c r="J77" s="289"/>
      <c r="K77" s="289"/>
      <c r="L77" s="422"/>
      <c r="M77" s="289"/>
      <c r="N77" s="289"/>
      <c r="O77" s="289"/>
      <c r="P77" s="289"/>
      <c r="Q77" s="289"/>
      <c r="R77" s="289"/>
      <c r="S77" s="289"/>
      <c r="T77" s="289"/>
      <c r="U77" s="289"/>
      <c r="V77" s="289"/>
      <c r="W77" s="107"/>
      <c r="X77" s="107"/>
    </row>
    <row r="78" spans="3:24" ht="15.75" customHeight="1">
      <c r="C78" s="328"/>
      <c r="D78" s="289"/>
      <c r="E78" s="289"/>
      <c r="F78" s="289"/>
      <c r="G78" s="289"/>
      <c r="H78" s="289"/>
      <c r="I78" s="289"/>
      <c r="J78" s="289"/>
      <c r="K78" s="289"/>
      <c r="L78" s="422"/>
      <c r="M78" s="289"/>
      <c r="N78" s="289"/>
      <c r="O78" s="289"/>
      <c r="P78" s="289"/>
      <c r="Q78" s="289"/>
      <c r="R78" s="289"/>
      <c r="S78" s="289"/>
      <c r="T78" s="289"/>
      <c r="U78" s="289"/>
      <c r="V78" s="289"/>
      <c r="W78" s="107"/>
      <c r="X78" s="107"/>
    </row>
    <row r="79" spans="3:24" ht="15.75" customHeight="1">
      <c r="C79" s="328"/>
      <c r="D79" s="289"/>
      <c r="E79" s="289"/>
      <c r="F79" s="289"/>
      <c r="G79" s="289"/>
      <c r="H79" s="289"/>
      <c r="I79" s="289"/>
      <c r="J79" s="289"/>
      <c r="K79" s="289"/>
      <c r="L79" s="422"/>
      <c r="M79" s="289"/>
      <c r="N79" s="289"/>
      <c r="O79" s="289"/>
      <c r="P79" s="289"/>
      <c r="Q79" s="289"/>
      <c r="R79" s="289"/>
      <c r="S79" s="289"/>
      <c r="T79" s="289"/>
      <c r="U79" s="289"/>
      <c r="V79" s="289"/>
      <c r="W79" s="107"/>
      <c r="X79" s="107"/>
    </row>
    <row r="80" spans="3:24" ht="15.75" customHeight="1">
      <c r="C80" s="328"/>
      <c r="D80" s="289"/>
      <c r="E80" s="289"/>
      <c r="F80" s="289"/>
      <c r="G80" s="289"/>
      <c r="H80" s="289"/>
      <c r="I80" s="289"/>
      <c r="J80" s="289"/>
      <c r="K80" s="289"/>
      <c r="L80" s="422"/>
      <c r="M80" s="289"/>
      <c r="N80" s="289"/>
      <c r="O80" s="289"/>
      <c r="P80" s="289"/>
      <c r="Q80" s="289"/>
      <c r="R80" s="289"/>
      <c r="S80" s="289"/>
      <c r="T80" s="289"/>
      <c r="U80" s="289"/>
      <c r="V80" s="289"/>
      <c r="W80" s="107"/>
      <c r="X80" s="107"/>
    </row>
    <row r="81" spans="3:24" ht="15.75" customHeight="1">
      <c r="C81" s="328"/>
      <c r="D81" s="289"/>
      <c r="E81" s="289"/>
      <c r="F81" s="289"/>
      <c r="G81" s="289"/>
      <c r="H81" s="289"/>
      <c r="I81" s="289"/>
      <c r="J81" s="289"/>
      <c r="K81" s="289"/>
      <c r="L81" s="422"/>
      <c r="M81" s="289"/>
      <c r="N81" s="289"/>
      <c r="O81" s="289"/>
      <c r="P81" s="289"/>
      <c r="Q81" s="289"/>
      <c r="R81" s="289"/>
      <c r="S81" s="289"/>
      <c r="T81" s="289"/>
      <c r="U81" s="289"/>
      <c r="V81" s="289"/>
      <c r="W81" s="107"/>
      <c r="X81" s="107"/>
    </row>
    <row r="82" spans="3:24" ht="15.75" customHeight="1">
      <c r="C82" s="328"/>
      <c r="D82" s="289"/>
      <c r="E82" s="289"/>
      <c r="F82" s="289"/>
      <c r="G82" s="289"/>
      <c r="H82" s="289"/>
      <c r="I82" s="289"/>
      <c r="J82" s="289"/>
      <c r="K82" s="289"/>
      <c r="L82" s="422"/>
      <c r="M82" s="289"/>
      <c r="N82" s="289"/>
      <c r="O82" s="289"/>
      <c r="P82" s="289"/>
      <c r="Q82" s="289"/>
      <c r="R82" s="289"/>
      <c r="S82" s="289"/>
      <c r="T82" s="289"/>
      <c r="U82" s="289"/>
      <c r="V82" s="289"/>
      <c r="W82" s="107"/>
      <c r="X82" s="107"/>
    </row>
    <row r="83" spans="3:24" ht="15.75" customHeight="1">
      <c r="C83" s="328"/>
      <c r="D83" s="289"/>
      <c r="E83" s="289"/>
      <c r="F83" s="289"/>
      <c r="G83" s="289"/>
      <c r="H83" s="289"/>
      <c r="I83" s="289"/>
      <c r="J83" s="289"/>
      <c r="K83" s="289"/>
      <c r="L83" s="422"/>
      <c r="M83" s="289"/>
      <c r="N83" s="289"/>
      <c r="O83" s="289"/>
      <c r="P83" s="289"/>
      <c r="Q83" s="289"/>
      <c r="R83" s="289"/>
      <c r="S83" s="289"/>
      <c r="T83" s="289"/>
      <c r="U83" s="289"/>
      <c r="V83" s="289"/>
      <c r="W83" s="107"/>
      <c r="X83" s="107"/>
    </row>
    <row r="84" spans="3:24" ht="15.75" customHeight="1">
      <c r="C84" s="328"/>
      <c r="D84" s="289"/>
      <c r="E84" s="289"/>
      <c r="F84" s="289"/>
      <c r="G84" s="289"/>
      <c r="H84" s="289"/>
      <c r="I84" s="289"/>
      <c r="J84" s="289"/>
      <c r="K84" s="289"/>
      <c r="L84" s="422"/>
      <c r="M84" s="289"/>
      <c r="N84" s="289"/>
      <c r="O84" s="289"/>
      <c r="P84" s="289"/>
      <c r="Q84" s="289"/>
      <c r="R84" s="289"/>
      <c r="S84" s="289"/>
      <c r="T84" s="289"/>
      <c r="U84" s="289"/>
      <c r="V84" s="289"/>
      <c r="W84" s="107"/>
      <c r="X84" s="107"/>
    </row>
    <row r="85" spans="3:24" ht="15.75" customHeight="1">
      <c r="C85" s="328"/>
      <c r="D85" s="289"/>
      <c r="E85" s="289"/>
      <c r="F85" s="289"/>
      <c r="G85" s="289"/>
      <c r="H85" s="289"/>
      <c r="I85" s="289"/>
      <c r="J85" s="289"/>
      <c r="K85" s="289"/>
      <c r="L85" s="422"/>
      <c r="M85" s="289"/>
      <c r="N85" s="289"/>
      <c r="O85" s="289"/>
      <c r="P85" s="289"/>
      <c r="Q85" s="289"/>
      <c r="R85" s="289"/>
      <c r="S85" s="289"/>
      <c r="T85" s="289"/>
      <c r="U85" s="289"/>
      <c r="V85" s="289"/>
      <c r="W85" s="107"/>
      <c r="X85" s="107"/>
    </row>
    <row r="86" spans="3:24" ht="15.75" customHeight="1">
      <c r="C86" s="328"/>
      <c r="D86" s="289"/>
      <c r="E86" s="289"/>
      <c r="F86" s="289"/>
      <c r="G86" s="289"/>
      <c r="H86" s="289"/>
      <c r="I86" s="289"/>
      <c r="J86" s="289"/>
      <c r="K86" s="289"/>
      <c r="L86" s="422"/>
      <c r="M86" s="289"/>
      <c r="N86" s="289"/>
      <c r="O86" s="289"/>
      <c r="P86" s="289"/>
      <c r="Q86" s="289"/>
      <c r="R86" s="289"/>
      <c r="S86" s="289"/>
      <c r="T86" s="289"/>
      <c r="U86" s="289"/>
      <c r="V86" s="289"/>
      <c r="W86" s="107"/>
      <c r="X86" s="107"/>
    </row>
    <row r="87" spans="3:24" ht="15.75" customHeight="1">
      <c r="C87" s="328"/>
      <c r="D87" s="289"/>
      <c r="E87" s="289"/>
      <c r="F87" s="289"/>
      <c r="G87" s="289"/>
      <c r="H87" s="289"/>
      <c r="I87" s="289"/>
      <c r="J87" s="289"/>
      <c r="K87" s="289"/>
      <c r="L87" s="422"/>
      <c r="M87" s="289"/>
      <c r="N87" s="289"/>
      <c r="O87" s="289"/>
      <c r="P87" s="289"/>
      <c r="Q87" s="289"/>
      <c r="R87" s="289"/>
      <c r="S87" s="289"/>
      <c r="T87" s="289"/>
      <c r="U87" s="289"/>
      <c r="V87" s="289"/>
      <c r="W87" s="107"/>
      <c r="X87" s="107"/>
    </row>
    <row r="88" spans="3:24" ht="15.75" customHeight="1">
      <c r="C88" s="328"/>
      <c r="D88" s="289"/>
      <c r="E88" s="289"/>
      <c r="F88" s="289"/>
      <c r="G88" s="289"/>
      <c r="H88" s="289"/>
      <c r="I88" s="289"/>
      <c r="J88" s="289"/>
      <c r="K88" s="289"/>
      <c r="L88" s="422"/>
      <c r="M88" s="289"/>
      <c r="N88" s="289"/>
      <c r="O88" s="289"/>
      <c r="P88" s="289"/>
      <c r="Q88" s="289"/>
      <c r="R88" s="289"/>
      <c r="S88" s="289"/>
      <c r="T88" s="289"/>
      <c r="U88" s="289"/>
      <c r="V88" s="289"/>
      <c r="W88" s="107"/>
      <c r="X88" s="107"/>
    </row>
    <row r="89" spans="3:24" ht="15.75" customHeight="1">
      <c r="C89" s="328"/>
      <c r="D89" s="289"/>
      <c r="E89" s="289"/>
      <c r="F89" s="289"/>
      <c r="G89" s="289"/>
      <c r="H89" s="289"/>
      <c r="I89" s="289"/>
      <c r="J89" s="289"/>
      <c r="K89" s="289"/>
      <c r="L89" s="422"/>
      <c r="M89" s="289"/>
      <c r="N89" s="289"/>
      <c r="O89" s="289"/>
      <c r="P89" s="289"/>
      <c r="Q89" s="289"/>
      <c r="R89" s="289"/>
      <c r="S89" s="289"/>
      <c r="T89" s="289"/>
      <c r="U89" s="289"/>
      <c r="V89" s="289"/>
      <c r="W89" s="107"/>
      <c r="X89" s="107"/>
    </row>
    <row r="90" spans="3:24" ht="15.75" customHeight="1">
      <c r="C90" s="328"/>
      <c r="D90" s="289"/>
      <c r="E90" s="289"/>
      <c r="F90" s="289"/>
      <c r="G90" s="289"/>
      <c r="H90" s="289"/>
      <c r="I90" s="289"/>
      <c r="J90" s="289"/>
      <c r="K90" s="289"/>
      <c r="L90" s="422"/>
      <c r="M90" s="289"/>
      <c r="N90" s="289"/>
      <c r="O90" s="289"/>
      <c r="P90" s="289"/>
      <c r="Q90" s="289"/>
      <c r="R90" s="289"/>
      <c r="S90" s="289"/>
      <c r="T90" s="289"/>
      <c r="U90" s="289"/>
      <c r="V90" s="289"/>
      <c r="W90" s="107"/>
      <c r="X90" s="107"/>
    </row>
    <row r="91" spans="3:24" ht="15.75" customHeight="1">
      <c r="C91" s="328"/>
      <c r="D91" s="289"/>
      <c r="E91" s="289"/>
      <c r="F91" s="289"/>
      <c r="G91" s="289"/>
      <c r="H91" s="289"/>
      <c r="I91" s="289"/>
      <c r="J91" s="289"/>
      <c r="K91" s="289"/>
      <c r="L91" s="422"/>
      <c r="M91" s="289"/>
      <c r="N91" s="289"/>
      <c r="O91" s="289"/>
      <c r="P91" s="289"/>
      <c r="Q91" s="289"/>
      <c r="R91" s="289"/>
      <c r="S91" s="289"/>
      <c r="T91" s="289"/>
      <c r="U91" s="289"/>
      <c r="V91" s="289"/>
      <c r="W91" s="107"/>
      <c r="X91" s="107"/>
    </row>
    <row r="92" spans="3:24" ht="15.75" customHeight="1">
      <c r="C92" s="328"/>
      <c r="D92" s="289"/>
      <c r="E92" s="289"/>
      <c r="F92" s="289"/>
      <c r="G92" s="289"/>
      <c r="H92" s="289"/>
      <c r="I92" s="289"/>
      <c r="J92" s="289"/>
      <c r="K92" s="289"/>
      <c r="L92" s="422"/>
      <c r="M92" s="289"/>
      <c r="N92" s="289"/>
      <c r="O92" s="289"/>
      <c r="P92" s="289"/>
      <c r="Q92" s="289"/>
      <c r="R92" s="289"/>
      <c r="S92" s="289"/>
      <c r="T92" s="289"/>
      <c r="U92" s="289"/>
      <c r="V92" s="289"/>
      <c r="W92" s="107"/>
      <c r="X92" s="107"/>
    </row>
    <row r="93" spans="3:24" ht="15.75" customHeight="1">
      <c r="C93" s="328"/>
      <c r="D93" s="289"/>
      <c r="E93" s="289"/>
      <c r="F93" s="289"/>
      <c r="G93" s="289"/>
      <c r="H93" s="289"/>
      <c r="I93" s="289"/>
      <c r="J93" s="289"/>
      <c r="K93" s="289"/>
      <c r="L93" s="422"/>
      <c r="M93" s="289"/>
      <c r="N93" s="289"/>
      <c r="O93" s="289"/>
      <c r="P93" s="289"/>
      <c r="Q93" s="289"/>
      <c r="R93" s="289"/>
      <c r="S93" s="289"/>
      <c r="T93" s="289"/>
      <c r="U93" s="289"/>
      <c r="V93" s="289"/>
      <c r="W93" s="107"/>
      <c r="X93" s="107"/>
    </row>
    <row r="94" spans="3:24" ht="15.75" customHeight="1">
      <c r="C94" s="328"/>
      <c r="D94" s="289"/>
      <c r="E94" s="289"/>
      <c r="F94" s="289"/>
      <c r="G94" s="289"/>
      <c r="H94" s="289"/>
      <c r="I94" s="289"/>
      <c r="J94" s="289"/>
      <c r="K94" s="289"/>
      <c r="L94" s="422"/>
      <c r="M94" s="289"/>
      <c r="N94" s="289"/>
      <c r="O94" s="289"/>
      <c r="P94" s="289"/>
      <c r="Q94" s="289"/>
      <c r="R94" s="289"/>
      <c r="S94" s="289"/>
      <c r="T94" s="289"/>
      <c r="U94" s="289"/>
      <c r="V94" s="289"/>
      <c r="W94" s="107"/>
      <c r="X94" s="107"/>
    </row>
    <row r="95" spans="3:24" ht="15.75" customHeight="1">
      <c r="C95" s="328"/>
      <c r="D95" s="289"/>
      <c r="E95" s="289"/>
      <c r="F95" s="289"/>
      <c r="G95" s="289"/>
      <c r="H95" s="289"/>
      <c r="I95" s="289"/>
      <c r="J95" s="289"/>
      <c r="K95" s="289"/>
      <c r="L95" s="422"/>
      <c r="M95" s="289"/>
      <c r="N95" s="289"/>
      <c r="O95" s="289"/>
      <c r="P95" s="289"/>
      <c r="Q95" s="289"/>
      <c r="R95" s="289"/>
      <c r="S95" s="289"/>
      <c r="T95" s="289"/>
      <c r="U95" s="289"/>
      <c r="V95" s="289"/>
      <c r="W95" s="107"/>
      <c r="X95" s="107"/>
    </row>
    <row r="96" spans="3:24" ht="15.75" customHeight="1">
      <c r="C96" s="328"/>
      <c r="D96" s="289"/>
      <c r="E96" s="289"/>
      <c r="F96" s="289"/>
      <c r="G96" s="289"/>
      <c r="H96" s="289"/>
      <c r="I96" s="289"/>
      <c r="J96" s="289"/>
      <c r="K96" s="289"/>
      <c r="L96" s="422"/>
      <c r="M96" s="289"/>
      <c r="N96" s="289"/>
      <c r="O96" s="289"/>
      <c r="P96" s="289"/>
      <c r="Q96" s="289"/>
      <c r="R96" s="289"/>
      <c r="S96" s="289"/>
      <c r="T96" s="289"/>
      <c r="U96" s="289"/>
      <c r="V96" s="289"/>
      <c r="W96" s="107"/>
      <c r="X96" s="107"/>
    </row>
    <row r="97" spans="3:24" ht="15.75" customHeight="1">
      <c r="C97" s="328"/>
      <c r="D97" s="289"/>
      <c r="E97" s="289"/>
      <c r="F97" s="289"/>
      <c r="G97" s="289"/>
      <c r="H97" s="289"/>
      <c r="I97" s="289"/>
      <c r="J97" s="289"/>
      <c r="K97" s="289"/>
      <c r="L97" s="422"/>
      <c r="M97" s="289"/>
      <c r="N97" s="289"/>
      <c r="O97" s="289"/>
      <c r="P97" s="289"/>
      <c r="Q97" s="289"/>
      <c r="R97" s="289"/>
      <c r="S97" s="289"/>
      <c r="T97" s="289"/>
      <c r="U97" s="289"/>
      <c r="V97" s="289"/>
      <c r="W97" s="107"/>
      <c r="X97" s="107"/>
    </row>
    <row r="98" spans="3:24" ht="15.75" customHeight="1">
      <c r="C98" s="328"/>
      <c r="D98" s="289"/>
      <c r="E98" s="289"/>
      <c r="F98" s="289"/>
      <c r="G98" s="289"/>
      <c r="H98" s="289"/>
      <c r="I98" s="289"/>
      <c r="J98" s="289"/>
      <c r="K98" s="289"/>
      <c r="L98" s="422"/>
      <c r="M98" s="289"/>
      <c r="N98" s="289"/>
      <c r="O98" s="289"/>
      <c r="P98" s="289"/>
      <c r="Q98" s="289"/>
      <c r="R98" s="289"/>
      <c r="S98" s="289"/>
      <c r="T98" s="289"/>
      <c r="U98" s="289"/>
      <c r="V98" s="289"/>
      <c r="W98" s="107"/>
      <c r="X98" s="107"/>
    </row>
    <row r="99" spans="3:24" ht="15.75" customHeight="1">
      <c r="C99" s="328"/>
      <c r="D99" s="289"/>
      <c r="E99" s="289"/>
      <c r="F99" s="289"/>
      <c r="G99" s="289"/>
      <c r="H99" s="289"/>
      <c r="I99" s="289"/>
      <c r="J99" s="289"/>
      <c r="K99" s="289"/>
      <c r="L99" s="422"/>
      <c r="M99" s="289"/>
      <c r="N99" s="289"/>
      <c r="O99" s="289"/>
      <c r="P99" s="289"/>
      <c r="Q99" s="289"/>
      <c r="R99" s="289"/>
      <c r="S99" s="289"/>
      <c r="T99" s="289"/>
      <c r="U99" s="289"/>
      <c r="V99" s="289"/>
      <c r="W99" s="107"/>
      <c r="X99" s="107"/>
    </row>
    <row r="100" spans="3:24" ht="15.75" customHeight="1">
      <c r="C100" s="328"/>
      <c r="D100" s="289"/>
      <c r="E100" s="289"/>
      <c r="F100" s="289"/>
      <c r="G100" s="289"/>
      <c r="H100" s="289"/>
      <c r="I100" s="289"/>
      <c r="J100" s="289"/>
      <c r="K100" s="289"/>
      <c r="L100" s="422"/>
      <c r="M100" s="289"/>
      <c r="N100" s="289"/>
      <c r="O100" s="289"/>
      <c r="P100" s="289"/>
      <c r="Q100" s="289"/>
      <c r="R100" s="289"/>
      <c r="S100" s="289"/>
      <c r="T100" s="289"/>
      <c r="U100" s="289"/>
      <c r="V100" s="289"/>
      <c r="W100" s="107"/>
      <c r="X100" s="107"/>
    </row>
    <row r="101" spans="3:24" ht="15.75" customHeight="1">
      <c r="C101" s="328"/>
      <c r="D101" s="289"/>
      <c r="E101" s="289"/>
      <c r="F101" s="289"/>
      <c r="G101" s="289"/>
      <c r="H101" s="289"/>
      <c r="I101" s="289"/>
      <c r="J101" s="289"/>
      <c r="K101" s="289"/>
      <c r="L101" s="422"/>
      <c r="M101" s="289"/>
      <c r="N101" s="289"/>
      <c r="O101" s="289"/>
      <c r="P101" s="289"/>
      <c r="Q101" s="289"/>
      <c r="R101" s="289"/>
      <c r="S101" s="289"/>
      <c r="T101" s="289"/>
      <c r="U101" s="289"/>
      <c r="V101" s="289"/>
      <c r="W101" s="107"/>
      <c r="X101" s="107"/>
    </row>
    <row r="102" spans="3:24" ht="15.75" customHeight="1">
      <c r="C102" s="328"/>
      <c r="D102" s="289"/>
      <c r="E102" s="289"/>
      <c r="F102" s="289"/>
      <c r="G102" s="289"/>
      <c r="H102" s="289"/>
      <c r="I102" s="289"/>
      <c r="J102" s="289"/>
      <c r="K102" s="289"/>
      <c r="L102" s="422"/>
      <c r="M102" s="289"/>
      <c r="N102" s="289"/>
      <c r="O102" s="289"/>
      <c r="P102" s="289"/>
      <c r="Q102" s="289"/>
      <c r="R102" s="289"/>
      <c r="S102" s="289"/>
      <c r="T102" s="289"/>
      <c r="U102" s="289"/>
      <c r="V102" s="289"/>
      <c r="W102" s="107"/>
      <c r="X102" s="107"/>
    </row>
    <row r="103" spans="3:24" ht="15.75" customHeight="1">
      <c r="C103" s="328"/>
      <c r="D103" s="289"/>
      <c r="E103" s="289"/>
      <c r="F103" s="289"/>
      <c r="G103" s="289"/>
      <c r="H103" s="289"/>
      <c r="I103" s="289"/>
      <c r="J103" s="289"/>
      <c r="K103" s="289"/>
      <c r="L103" s="422"/>
      <c r="M103" s="289"/>
      <c r="N103" s="289"/>
      <c r="O103" s="289"/>
      <c r="P103" s="289"/>
      <c r="Q103" s="289"/>
      <c r="R103" s="289"/>
      <c r="S103" s="289"/>
      <c r="T103" s="289"/>
      <c r="U103" s="289"/>
      <c r="V103" s="289"/>
      <c r="W103" s="107"/>
      <c r="X103" s="107"/>
    </row>
    <row r="104" spans="3:24" ht="15.75" customHeight="1">
      <c r="C104" s="328"/>
      <c r="D104" s="289"/>
      <c r="E104" s="289"/>
      <c r="F104" s="289"/>
      <c r="G104" s="289"/>
      <c r="H104" s="289"/>
      <c r="I104" s="289"/>
      <c r="J104" s="289"/>
      <c r="K104" s="289"/>
      <c r="L104" s="422"/>
      <c r="M104" s="289"/>
      <c r="N104" s="289"/>
      <c r="O104" s="289"/>
      <c r="P104" s="289"/>
      <c r="Q104" s="289"/>
      <c r="R104" s="289"/>
      <c r="S104" s="289"/>
      <c r="T104" s="289"/>
      <c r="U104" s="289"/>
      <c r="V104" s="289"/>
      <c r="W104" s="107"/>
      <c r="X104" s="107"/>
    </row>
    <row r="105" spans="3:24" ht="15.75" customHeight="1">
      <c r="C105" s="328"/>
      <c r="D105" s="289"/>
      <c r="E105" s="289"/>
      <c r="F105" s="289"/>
      <c r="G105" s="289"/>
      <c r="H105" s="289"/>
      <c r="I105" s="289"/>
      <c r="J105" s="289"/>
      <c r="K105" s="289"/>
      <c r="L105" s="422"/>
      <c r="M105" s="289"/>
      <c r="N105" s="289"/>
      <c r="O105" s="289"/>
      <c r="P105" s="289"/>
      <c r="Q105" s="289"/>
      <c r="R105" s="289"/>
      <c r="S105" s="289"/>
      <c r="T105" s="289"/>
      <c r="U105" s="289"/>
      <c r="V105" s="289"/>
      <c r="W105" s="107"/>
      <c r="X105" s="107"/>
    </row>
    <row r="106" spans="3:24" ht="15.75" customHeight="1">
      <c r="C106" s="328"/>
      <c r="D106" s="289"/>
      <c r="E106" s="289"/>
      <c r="F106" s="289"/>
      <c r="G106" s="289"/>
      <c r="H106" s="289"/>
      <c r="I106" s="289"/>
      <c r="J106" s="289"/>
      <c r="K106" s="289"/>
      <c r="L106" s="422"/>
      <c r="M106" s="289"/>
      <c r="N106" s="289"/>
      <c r="O106" s="289"/>
      <c r="P106" s="289"/>
      <c r="Q106" s="289"/>
      <c r="R106" s="289"/>
      <c r="S106" s="289"/>
      <c r="T106" s="289"/>
      <c r="U106" s="289"/>
      <c r="V106" s="289"/>
      <c r="W106" s="107"/>
      <c r="X106" s="107"/>
    </row>
    <row r="107" spans="3:24" ht="15.75" customHeight="1">
      <c r="C107" s="328"/>
      <c r="D107" s="289"/>
      <c r="E107" s="289"/>
      <c r="F107" s="289"/>
      <c r="G107" s="289"/>
      <c r="H107" s="289"/>
      <c r="I107" s="289"/>
      <c r="J107" s="289"/>
      <c r="K107" s="289"/>
      <c r="L107" s="422"/>
      <c r="M107" s="289"/>
      <c r="N107" s="289"/>
      <c r="O107" s="289"/>
      <c r="P107" s="289"/>
      <c r="Q107" s="289"/>
      <c r="R107" s="289"/>
      <c r="S107" s="289"/>
      <c r="T107" s="289"/>
      <c r="U107" s="289"/>
      <c r="V107" s="289"/>
      <c r="W107" s="107"/>
      <c r="X107" s="107"/>
    </row>
    <row r="108" spans="3:24" ht="15.75" customHeight="1">
      <c r="C108" s="328"/>
      <c r="D108" s="289"/>
      <c r="E108" s="289"/>
      <c r="F108" s="289"/>
      <c r="G108" s="289"/>
      <c r="H108" s="289"/>
      <c r="I108" s="289"/>
      <c r="J108" s="289"/>
      <c r="K108" s="289"/>
      <c r="L108" s="422"/>
      <c r="M108" s="289"/>
      <c r="N108" s="289"/>
      <c r="O108" s="289"/>
      <c r="P108" s="289"/>
      <c r="Q108" s="289"/>
      <c r="R108" s="289"/>
      <c r="S108" s="289"/>
      <c r="T108" s="289"/>
      <c r="U108" s="289"/>
      <c r="V108" s="289"/>
      <c r="W108" s="107"/>
      <c r="X108" s="107"/>
    </row>
    <row r="109" spans="3:24" ht="15.75" customHeight="1">
      <c r="C109" s="328"/>
      <c r="D109" s="289"/>
      <c r="E109" s="289"/>
      <c r="F109" s="289"/>
      <c r="G109" s="289"/>
      <c r="H109" s="289"/>
      <c r="I109" s="289"/>
      <c r="J109" s="289"/>
      <c r="K109" s="289"/>
      <c r="L109" s="422"/>
      <c r="M109" s="289"/>
      <c r="N109" s="289"/>
      <c r="O109" s="289"/>
      <c r="P109" s="289"/>
      <c r="Q109" s="289"/>
      <c r="R109" s="289"/>
      <c r="S109" s="289"/>
      <c r="T109" s="289"/>
      <c r="U109" s="289"/>
      <c r="V109" s="289"/>
      <c r="W109" s="107"/>
      <c r="X109" s="107"/>
    </row>
    <row r="110" spans="3:24" ht="15.75" customHeight="1">
      <c r="C110" s="328"/>
      <c r="D110" s="289"/>
      <c r="E110" s="289"/>
      <c r="F110" s="289"/>
      <c r="G110" s="289"/>
      <c r="H110" s="289"/>
      <c r="I110" s="289"/>
      <c r="J110" s="289"/>
      <c r="K110" s="289"/>
      <c r="L110" s="422"/>
      <c r="M110" s="289"/>
      <c r="N110" s="289"/>
      <c r="O110" s="289"/>
      <c r="P110" s="289"/>
      <c r="Q110" s="289"/>
      <c r="R110" s="289"/>
      <c r="S110" s="289"/>
      <c r="T110" s="289"/>
      <c r="U110" s="289"/>
      <c r="V110" s="289"/>
      <c r="W110" s="107"/>
      <c r="X110" s="107"/>
    </row>
    <row r="111" spans="3:24" ht="15.75" customHeight="1">
      <c r="C111" s="328"/>
      <c r="D111" s="289"/>
      <c r="E111" s="289"/>
      <c r="F111" s="289"/>
      <c r="G111" s="289"/>
      <c r="H111" s="289"/>
      <c r="I111" s="289"/>
      <c r="J111" s="289"/>
      <c r="K111" s="289"/>
      <c r="L111" s="422"/>
      <c r="M111" s="289"/>
      <c r="N111" s="289"/>
      <c r="O111" s="289"/>
      <c r="P111" s="289"/>
      <c r="Q111" s="289"/>
      <c r="R111" s="289"/>
      <c r="S111" s="289"/>
      <c r="T111" s="289"/>
      <c r="U111" s="289"/>
      <c r="V111" s="289"/>
      <c r="W111" s="107"/>
      <c r="X111" s="107"/>
    </row>
    <row r="112" spans="3:24" ht="15.75" customHeight="1">
      <c r="C112" s="328"/>
      <c r="D112" s="289"/>
      <c r="E112" s="289"/>
      <c r="F112" s="289"/>
      <c r="G112" s="289"/>
      <c r="H112" s="289"/>
      <c r="I112" s="289"/>
      <c r="J112" s="289"/>
      <c r="K112" s="289"/>
      <c r="L112" s="422"/>
      <c r="M112" s="289"/>
      <c r="N112" s="289"/>
      <c r="O112" s="289"/>
      <c r="P112" s="289"/>
      <c r="Q112" s="289"/>
      <c r="R112" s="289"/>
      <c r="S112" s="289"/>
      <c r="T112" s="289"/>
      <c r="U112" s="289"/>
      <c r="V112" s="289"/>
      <c r="W112" s="107"/>
      <c r="X112" s="107"/>
    </row>
    <row r="113" spans="3:24" ht="15.75" customHeight="1">
      <c r="C113" s="328"/>
      <c r="D113" s="289"/>
      <c r="E113" s="289"/>
      <c r="F113" s="289"/>
      <c r="G113" s="289"/>
      <c r="H113" s="289"/>
      <c r="I113" s="289"/>
      <c r="J113" s="289"/>
      <c r="K113" s="289"/>
      <c r="L113" s="422"/>
      <c r="M113" s="289"/>
      <c r="N113" s="289"/>
      <c r="O113" s="289"/>
      <c r="P113" s="289"/>
      <c r="Q113" s="289"/>
      <c r="R113" s="289"/>
      <c r="S113" s="289"/>
      <c r="T113" s="289"/>
      <c r="U113" s="289"/>
      <c r="V113" s="289"/>
      <c r="W113" s="107"/>
      <c r="X113" s="107"/>
    </row>
    <row r="114" spans="3:24" ht="15.75" customHeight="1">
      <c r="C114" s="328"/>
      <c r="D114" s="289"/>
      <c r="E114" s="289"/>
      <c r="F114" s="289"/>
      <c r="G114" s="289"/>
      <c r="H114" s="289"/>
      <c r="I114" s="289"/>
      <c r="J114" s="289"/>
      <c r="K114" s="289"/>
      <c r="L114" s="422"/>
      <c r="M114" s="289"/>
      <c r="N114" s="289"/>
      <c r="O114" s="289"/>
      <c r="P114" s="289"/>
      <c r="Q114" s="289"/>
      <c r="R114" s="289"/>
      <c r="S114" s="289"/>
      <c r="T114" s="289"/>
      <c r="U114" s="289"/>
      <c r="V114" s="289"/>
      <c r="W114" s="107"/>
      <c r="X114" s="107"/>
    </row>
    <row r="115" spans="3:24" ht="15.75" customHeight="1">
      <c r="C115" s="328"/>
      <c r="D115" s="289"/>
      <c r="E115" s="289"/>
      <c r="F115" s="289"/>
      <c r="G115" s="289"/>
      <c r="H115" s="289"/>
      <c r="I115" s="289"/>
      <c r="J115" s="289"/>
      <c r="K115" s="289"/>
      <c r="L115" s="422"/>
      <c r="M115" s="289"/>
      <c r="N115" s="289"/>
      <c r="O115" s="289"/>
      <c r="P115" s="289"/>
      <c r="Q115" s="289"/>
      <c r="R115" s="289"/>
      <c r="S115" s="289"/>
      <c r="T115" s="289"/>
      <c r="U115" s="289"/>
      <c r="V115" s="289"/>
      <c r="W115" s="107"/>
      <c r="X115" s="107"/>
    </row>
    <row r="116" spans="3:24" ht="15.75" customHeight="1">
      <c r="C116" s="328"/>
      <c r="D116" s="289"/>
      <c r="E116" s="289"/>
      <c r="F116" s="289"/>
      <c r="G116" s="289"/>
      <c r="H116" s="289"/>
      <c r="I116" s="289"/>
      <c r="J116" s="289"/>
      <c r="K116" s="289"/>
      <c r="L116" s="422"/>
      <c r="M116" s="289"/>
      <c r="N116" s="289"/>
      <c r="O116" s="289"/>
      <c r="P116" s="289"/>
      <c r="Q116" s="289"/>
      <c r="R116" s="289"/>
      <c r="S116" s="289"/>
      <c r="T116" s="289"/>
      <c r="U116" s="289"/>
      <c r="V116" s="289"/>
      <c r="W116" s="107"/>
      <c r="X116" s="107"/>
    </row>
    <row r="117" spans="3:24" ht="15.75" customHeight="1">
      <c r="C117" s="328"/>
      <c r="D117" s="289"/>
      <c r="E117" s="289"/>
      <c r="F117" s="289"/>
      <c r="G117" s="289"/>
      <c r="H117" s="289"/>
      <c r="I117" s="289"/>
      <c r="J117" s="289"/>
      <c r="K117" s="289"/>
      <c r="L117" s="422"/>
      <c r="M117" s="289"/>
      <c r="N117" s="289"/>
      <c r="O117" s="289"/>
      <c r="P117" s="289"/>
      <c r="Q117" s="289"/>
      <c r="R117" s="289"/>
      <c r="S117" s="289"/>
      <c r="T117" s="289"/>
      <c r="U117" s="289"/>
      <c r="V117" s="289"/>
      <c r="W117" s="107"/>
      <c r="X117" s="107"/>
    </row>
    <row r="118" spans="3:24" ht="15.75" customHeight="1">
      <c r="C118" s="328"/>
      <c r="D118" s="289"/>
      <c r="E118" s="289"/>
      <c r="F118" s="289"/>
      <c r="G118" s="289"/>
      <c r="H118" s="289"/>
      <c r="I118" s="289"/>
      <c r="J118" s="289"/>
      <c r="K118" s="289"/>
      <c r="L118" s="422"/>
      <c r="M118" s="289"/>
      <c r="N118" s="289"/>
      <c r="O118" s="289"/>
      <c r="P118" s="289"/>
      <c r="Q118" s="289"/>
      <c r="R118" s="289"/>
      <c r="S118" s="289"/>
      <c r="T118" s="289"/>
      <c r="U118" s="289"/>
      <c r="V118" s="289"/>
      <c r="W118" s="107"/>
      <c r="X118" s="107"/>
    </row>
    <row r="119" spans="3:24" ht="15.75" customHeight="1">
      <c r="C119" s="328"/>
      <c r="D119" s="289"/>
      <c r="E119" s="289"/>
      <c r="F119" s="289"/>
      <c r="G119" s="289"/>
      <c r="H119" s="289"/>
      <c r="I119" s="289"/>
      <c r="J119" s="289"/>
      <c r="K119" s="289"/>
      <c r="L119" s="422"/>
      <c r="M119" s="289"/>
      <c r="N119" s="289"/>
      <c r="O119" s="289"/>
      <c r="P119" s="289"/>
      <c r="Q119" s="289"/>
      <c r="R119" s="289"/>
      <c r="S119" s="289"/>
      <c r="T119" s="289"/>
      <c r="U119" s="289"/>
      <c r="V119" s="289"/>
      <c r="W119" s="107"/>
      <c r="X119" s="107"/>
    </row>
    <row r="120" spans="3:24" ht="15.75" customHeight="1">
      <c r="C120" s="328"/>
      <c r="D120" s="289"/>
      <c r="E120" s="289"/>
      <c r="F120" s="289"/>
      <c r="G120" s="289"/>
      <c r="H120" s="289"/>
      <c r="I120" s="289"/>
      <c r="J120" s="289"/>
      <c r="K120" s="289"/>
      <c r="L120" s="422"/>
      <c r="M120" s="289"/>
      <c r="N120" s="289"/>
      <c r="O120" s="289"/>
      <c r="P120" s="289"/>
      <c r="Q120" s="289"/>
      <c r="R120" s="289"/>
      <c r="S120" s="289"/>
      <c r="T120" s="289"/>
      <c r="U120" s="289"/>
      <c r="V120" s="289"/>
      <c r="W120" s="107"/>
      <c r="X120" s="107"/>
    </row>
    <row r="121" spans="3:24" ht="15.75" customHeight="1">
      <c r="C121" s="328"/>
      <c r="D121" s="289"/>
      <c r="E121" s="289"/>
      <c r="F121" s="289"/>
      <c r="G121" s="289"/>
      <c r="H121" s="289"/>
      <c r="I121" s="289"/>
      <c r="J121" s="289"/>
      <c r="K121" s="289"/>
      <c r="L121" s="422"/>
      <c r="M121" s="289"/>
      <c r="N121" s="289"/>
      <c r="O121" s="289"/>
      <c r="P121" s="289"/>
      <c r="Q121" s="289"/>
      <c r="R121" s="289"/>
      <c r="S121" s="289"/>
      <c r="T121" s="289"/>
      <c r="U121" s="289"/>
      <c r="V121" s="289"/>
      <c r="W121" s="107"/>
      <c r="X121" s="107"/>
    </row>
    <row r="122" spans="3:24" ht="15.75" customHeight="1">
      <c r="C122" s="328"/>
      <c r="D122" s="289"/>
      <c r="E122" s="289"/>
      <c r="F122" s="289"/>
      <c r="G122" s="289"/>
      <c r="H122" s="289"/>
      <c r="I122" s="289"/>
      <c r="J122" s="289"/>
      <c r="K122" s="289"/>
      <c r="L122" s="422"/>
      <c r="M122" s="289"/>
      <c r="N122" s="289"/>
      <c r="O122" s="289"/>
      <c r="P122" s="289"/>
      <c r="Q122" s="289"/>
      <c r="R122" s="289"/>
      <c r="S122" s="289"/>
      <c r="T122" s="289"/>
      <c r="U122" s="289"/>
      <c r="V122" s="289"/>
      <c r="W122" s="107"/>
      <c r="X122" s="107"/>
    </row>
    <row r="123" spans="3:24" ht="15.75" customHeight="1">
      <c r="C123" s="328"/>
      <c r="D123" s="289"/>
      <c r="E123" s="289"/>
      <c r="F123" s="289"/>
      <c r="G123" s="289"/>
      <c r="H123" s="289"/>
      <c r="I123" s="289"/>
      <c r="J123" s="289"/>
      <c r="K123" s="289"/>
      <c r="L123" s="422"/>
      <c r="M123" s="289"/>
      <c r="N123" s="289"/>
      <c r="O123" s="289"/>
      <c r="P123" s="289"/>
      <c r="Q123" s="289"/>
      <c r="R123" s="289"/>
      <c r="S123" s="289"/>
      <c r="T123" s="289"/>
      <c r="U123" s="289"/>
      <c r="V123" s="289"/>
      <c r="W123" s="107"/>
      <c r="X123" s="107"/>
    </row>
    <row r="124" spans="3:24" ht="15.75" customHeight="1">
      <c r="C124" s="328"/>
      <c r="D124" s="289"/>
      <c r="E124" s="289"/>
      <c r="F124" s="289"/>
      <c r="G124" s="289"/>
      <c r="H124" s="289"/>
      <c r="I124" s="289"/>
      <c r="J124" s="289"/>
      <c r="K124" s="289"/>
      <c r="L124" s="422"/>
      <c r="M124" s="289"/>
      <c r="N124" s="289"/>
      <c r="O124" s="289"/>
      <c r="P124" s="289"/>
      <c r="Q124" s="289"/>
      <c r="R124" s="289"/>
      <c r="S124" s="289"/>
      <c r="T124" s="289"/>
      <c r="U124" s="289"/>
      <c r="V124" s="289"/>
      <c r="W124" s="107"/>
      <c r="X124" s="107"/>
    </row>
    <row r="125" spans="3:24" ht="15.75" customHeight="1">
      <c r="C125" s="328"/>
      <c r="D125" s="289"/>
      <c r="E125" s="289"/>
      <c r="F125" s="289"/>
      <c r="G125" s="289"/>
      <c r="H125" s="289"/>
      <c r="I125" s="289"/>
      <c r="J125" s="289"/>
      <c r="K125" s="289"/>
      <c r="L125" s="422"/>
      <c r="M125" s="289"/>
      <c r="N125" s="289"/>
      <c r="O125" s="289"/>
      <c r="P125" s="289"/>
      <c r="Q125" s="289"/>
      <c r="R125" s="289"/>
      <c r="S125" s="289"/>
      <c r="T125" s="289"/>
      <c r="U125" s="289"/>
      <c r="V125" s="289"/>
      <c r="W125" s="107"/>
      <c r="X125" s="107"/>
    </row>
    <row r="126" spans="3:24" ht="15.75" customHeight="1">
      <c r="C126" s="328"/>
      <c r="D126" s="289"/>
      <c r="E126" s="289"/>
      <c r="F126" s="289"/>
      <c r="G126" s="289"/>
      <c r="H126" s="289"/>
      <c r="I126" s="289"/>
      <c r="J126" s="289"/>
      <c r="K126" s="289"/>
      <c r="L126" s="422"/>
      <c r="M126" s="289"/>
      <c r="N126" s="289"/>
      <c r="O126" s="289"/>
      <c r="P126" s="289"/>
      <c r="Q126" s="289"/>
      <c r="R126" s="289"/>
      <c r="S126" s="289"/>
      <c r="T126" s="289"/>
      <c r="U126" s="289"/>
      <c r="V126" s="289"/>
      <c r="W126" s="107"/>
      <c r="X126" s="107"/>
    </row>
    <row r="127" spans="3:24" ht="15.75" customHeight="1">
      <c r="C127" s="328"/>
      <c r="D127" s="289"/>
      <c r="E127" s="289"/>
      <c r="F127" s="289"/>
      <c r="G127" s="289"/>
      <c r="H127" s="289"/>
      <c r="I127" s="289"/>
      <c r="J127" s="289"/>
      <c r="K127" s="289"/>
      <c r="L127" s="422"/>
      <c r="M127" s="289"/>
      <c r="N127" s="289"/>
      <c r="O127" s="289"/>
      <c r="P127" s="289"/>
      <c r="Q127" s="289"/>
      <c r="R127" s="289"/>
      <c r="S127" s="289"/>
      <c r="T127" s="289"/>
      <c r="U127" s="289"/>
      <c r="V127" s="289"/>
      <c r="W127" s="107"/>
      <c r="X127" s="107"/>
    </row>
    <row r="128" spans="3:24" ht="15.75" customHeight="1">
      <c r="C128" s="328"/>
      <c r="D128" s="289"/>
      <c r="E128" s="289"/>
      <c r="F128" s="289"/>
      <c r="G128" s="289"/>
      <c r="H128" s="289"/>
      <c r="I128" s="289"/>
      <c r="J128" s="289"/>
      <c r="K128" s="289"/>
      <c r="L128" s="422"/>
      <c r="M128" s="289"/>
      <c r="N128" s="289"/>
      <c r="O128" s="289"/>
      <c r="P128" s="289"/>
      <c r="Q128" s="289"/>
      <c r="R128" s="289"/>
      <c r="S128" s="289"/>
      <c r="T128" s="289"/>
      <c r="U128" s="289"/>
      <c r="V128" s="289"/>
      <c r="W128" s="107"/>
      <c r="X128" s="107"/>
    </row>
    <row r="129" spans="3:24" ht="15.75" customHeight="1">
      <c r="C129" s="328"/>
      <c r="D129" s="289"/>
      <c r="E129" s="289"/>
      <c r="F129" s="289"/>
      <c r="G129" s="289"/>
      <c r="H129" s="289"/>
      <c r="I129" s="289"/>
      <c r="J129" s="289"/>
      <c r="K129" s="289"/>
      <c r="L129" s="422"/>
      <c r="M129" s="289"/>
      <c r="N129" s="289"/>
      <c r="O129" s="289"/>
      <c r="P129" s="289"/>
      <c r="Q129" s="289"/>
      <c r="R129" s="289"/>
      <c r="S129" s="289"/>
      <c r="T129" s="289"/>
      <c r="U129" s="289"/>
      <c r="V129" s="289"/>
      <c r="W129" s="107"/>
      <c r="X129" s="107"/>
    </row>
    <row r="130" spans="3:24" ht="15.75" customHeight="1">
      <c r="C130" s="328"/>
      <c r="D130" s="289"/>
      <c r="E130" s="289"/>
      <c r="F130" s="289"/>
      <c r="G130" s="289"/>
      <c r="H130" s="289"/>
      <c r="I130" s="289"/>
      <c r="J130" s="289"/>
      <c r="K130" s="289"/>
      <c r="L130" s="422"/>
      <c r="M130" s="289"/>
      <c r="N130" s="289"/>
      <c r="O130" s="289"/>
      <c r="P130" s="289"/>
      <c r="Q130" s="289"/>
      <c r="R130" s="289"/>
      <c r="S130" s="289"/>
      <c r="T130" s="289"/>
      <c r="U130" s="289"/>
      <c r="V130" s="289"/>
      <c r="W130" s="107"/>
      <c r="X130" s="107"/>
    </row>
    <row r="131" spans="3:24" ht="15.75" customHeight="1">
      <c r="C131" s="328"/>
      <c r="D131" s="289"/>
      <c r="E131" s="289"/>
      <c r="F131" s="289"/>
      <c r="G131" s="289"/>
      <c r="H131" s="289"/>
      <c r="I131" s="289"/>
      <c r="J131" s="289"/>
      <c r="K131" s="289"/>
      <c r="L131" s="422"/>
      <c r="M131" s="289"/>
      <c r="N131" s="289"/>
      <c r="O131" s="289"/>
      <c r="P131" s="289"/>
      <c r="Q131" s="289"/>
      <c r="R131" s="289"/>
      <c r="S131" s="289"/>
      <c r="T131" s="289"/>
      <c r="U131" s="289"/>
      <c r="V131" s="289"/>
      <c r="W131" s="107"/>
      <c r="X131" s="107"/>
    </row>
    <row r="132" spans="3:24" ht="15.75" customHeight="1">
      <c r="C132" s="328"/>
      <c r="D132" s="289"/>
      <c r="E132" s="289"/>
      <c r="F132" s="289"/>
      <c r="G132" s="289"/>
      <c r="H132" s="289"/>
      <c r="I132" s="289"/>
      <c r="J132" s="289"/>
      <c r="K132" s="289"/>
      <c r="L132" s="422"/>
      <c r="M132" s="289"/>
      <c r="N132" s="289"/>
      <c r="O132" s="289"/>
      <c r="P132" s="289"/>
      <c r="Q132" s="289"/>
      <c r="R132" s="289"/>
      <c r="S132" s="289"/>
      <c r="T132" s="289"/>
      <c r="U132" s="289"/>
      <c r="V132" s="289"/>
      <c r="W132" s="107"/>
      <c r="X132" s="107"/>
    </row>
    <row r="133" spans="3:24" ht="15.75" customHeight="1">
      <c r="C133" s="328"/>
      <c r="D133" s="289"/>
      <c r="E133" s="289"/>
      <c r="F133" s="289"/>
      <c r="G133" s="289"/>
      <c r="H133" s="289"/>
      <c r="I133" s="289"/>
      <c r="J133" s="289"/>
      <c r="K133" s="289"/>
      <c r="L133" s="422"/>
      <c r="M133" s="289"/>
      <c r="N133" s="289"/>
      <c r="O133" s="289"/>
      <c r="P133" s="289"/>
      <c r="Q133" s="289"/>
      <c r="R133" s="289"/>
      <c r="S133" s="289"/>
      <c r="T133" s="289"/>
      <c r="U133" s="289"/>
      <c r="V133" s="289"/>
      <c r="W133" s="107"/>
      <c r="X133" s="107"/>
    </row>
    <row r="134" spans="3:24" ht="15.75" customHeight="1">
      <c r="C134" s="328"/>
      <c r="D134" s="289"/>
      <c r="E134" s="289"/>
      <c r="F134" s="289"/>
      <c r="G134" s="289"/>
      <c r="H134" s="289"/>
      <c r="I134" s="289"/>
      <c r="J134" s="289"/>
      <c r="K134" s="289"/>
      <c r="L134" s="422"/>
      <c r="M134" s="289"/>
      <c r="N134" s="289"/>
      <c r="O134" s="289"/>
      <c r="P134" s="289"/>
      <c r="Q134" s="289"/>
      <c r="R134" s="289"/>
      <c r="S134" s="289"/>
      <c r="T134" s="289"/>
      <c r="U134" s="289"/>
      <c r="V134" s="289"/>
      <c r="W134" s="107"/>
      <c r="X134" s="107"/>
    </row>
    <row r="135" spans="3:24" ht="15.75" customHeight="1">
      <c r="C135" s="328"/>
      <c r="D135" s="289"/>
      <c r="E135" s="289"/>
      <c r="F135" s="289"/>
      <c r="G135" s="289"/>
      <c r="H135" s="289"/>
      <c r="I135" s="289"/>
      <c r="J135" s="289"/>
      <c r="K135" s="289"/>
      <c r="L135" s="422"/>
      <c r="M135" s="289"/>
      <c r="N135" s="289"/>
      <c r="O135" s="289"/>
      <c r="P135" s="289"/>
      <c r="Q135" s="289"/>
      <c r="R135" s="289"/>
      <c r="S135" s="289"/>
      <c r="T135" s="289"/>
      <c r="U135" s="289"/>
      <c r="V135" s="289"/>
      <c r="W135" s="107"/>
      <c r="X135" s="107"/>
    </row>
    <row r="136" spans="3:24" ht="15.75" customHeight="1">
      <c r="C136" s="328"/>
      <c r="D136" s="289"/>
      <c r="E136" s="289"/>
      <c r="F136" s="289"/>
      <c r="G136" s="289"/>
      <c r="H136" s="289"/>
      <c r="I136" s="289"/>
      <c r="J136" s="289"/>
      <c r="K136" s="289"/>
      <c r="L136" s="422"/>
      <c r="M136" s="289"/>
      <c r="N136" s="289"/>
      <c r="O136" s="289"/>
      <c r="P136" s="289"/>
      <c r="Q136" s="289"/>
      <c r="R136" s="289"/>
      <c r="S136" s="289"/>
      <c r="T136" s="289"/>
      <c r="U136" s="289"/>
      <c r="V136" s="289"/>
      <c r="W136" s="107"/>
      <c r="X136" s="107"/>
    </row>
    <row r="137" spans="3:24" ht="15.75" customHeight="1">
      <c r="C137" s="328"/>
      <c r="D137" s="289"/>
      <c r="E137" s="289"/>
      <c r="F137" s="289"/>
      <c r="G137" s="289"/>
      <c r="H137" s="289"/>
      <c r="I137" s="289"/>
      <c r="J137" s="289"/>
      <c r="K137" s="289"/>
      <c r="L137" s="422"/>
      <c r="M137" s="289"/>
      <c r="N137" s="289"/>
      <c r="O137" s="289"/>
      <c r="P137" s="289"/>
      <c r="Q137" s="289"/>
      <c r="R137" s="289"/>
      <c r="S137" s="289"/>
      <c r="T137" s="289"/>
      <c r="U137" s="289"/>
      <c r="V137" s="289"/>
      <c r="W137" s="107"/>
      <c r="X137" s="107"/>
    </row>
    <row r="138" spans="3:24" ht="15.75" customHeight="1">
      <c r="C138" s="328"/>
      <c r="D138" s="289"/>
      <c r="E138" s="289"/>
      <c r="F138" s="289"/>
      <c r="G138" s="289"/>
      <c r="H138" s="289"/>
      <c r="I138" s="289"/>
      <c r="J138" s="289"/>
      <c r="K138" s="289"/>
      <c r="L138" s="422"/>
      <c r="M138" s="289"/>
      <c r="N138" s="289"/>
      <c r="O138" s="289"/>
      <c r="P138" s="289"/>
      <c r="Q138" s="289"/>
      <c r="R138" s="289"/>
      <c r="S138" s="289"/>
      <c r="T138" s="289"/>
      <c r="U138" s="289"/>
      <c r="V138" s="289"/>
      <c r="W138" s="107"/>
      <c r="X138" s="107"/>
    </row>
    <row r="139" spans="3:24" ht="15.75" customHeight="1">
      <c r="C139" s="328"/>
      <c r="D139" s="289"/>
      <c r="E139" s="289"/>
      <c r="F139" s="289"/>
      <c r="G139" s="289"/>
      <c r="H139" s="289"/>
      <c r="I139" s="289"/>
      <c r="J139" s="289"/>
      <c r="K139" s="289"/>
      <c r="L139" s="422"/>
      <c r="M139" s="289"/>
      <c r="N139" s="289"/>
      <c r="O139" s="289"/>
      <c r="P139" s="289"/>
      <c r="Q139" s="289"/>
      <c r="R139" s="289"/>
      <c r="S139" s="289"/>
      <c r="T139" s="289"/>
      <c r="U139" s="289"/>
      <c r="V139" s="289"/>
      <c r="W139" s="107"/>
      <c r="X139" s="107"/>
    </row>
    <row r="140" spans="3:24" ht="15.75" customHeight="1">
      <c r="C140" s="328"/>
      <c r="D140" s="289"/>
      <c r="E140" s="289"/>
      <c r="F140" s="289"/>
      <c r="G140" s="289"/>
      <c r="H140" s="289"/>
      <c r="I140" s="289"/>
      <c r="J140" s="289"/>
      <c r="K140" s="289"/>
      <c r="L140" s="422"/>
      <c r="M140" s="289"/>
      <c r="N140" s="289"/>
      <c r="O140" s="289"/>
      <c r="P140" s="289"/>
      <c r="Q140" s="289"/>
      <c r="R140" s="289"/>
      <c r="S140" s="289"/>
      <c r="T140" s="289"/>
      <c r="U140" s="289"/>
      <c r="V140" s="289"/>
      <c r="W140" s="107"/>
      <c r="X140" s="107"/>
    </row>
    <row r="141" spans="3:24" ht="15.75" customHeight="1">
      <c r="C141" s="328"/>
      <c r="D141" s="289"/>
      <c r="E141" s="289"/>
      <c r="F141" s="289"/>
      <c r="G141" s="289"/>
      <c r="H141" s="289"/>
      <c r="I141" s="289"/>
      <c r="J141" s="289"/>
      <c r="K141" s="289"/>
      <c r="L141" s="422"/>
      <c r="M141" s="289"/>
      <c r="N141" s="289"/>
      <c r="O141" s="289"/>
      <c r="P141" s="289"/>
      <c r="Q141" s="289"/>
      <c r="R141" s="289"/>
      <c r="S141" s="289"/>
      <c r="T141" s="289"/>
      <c r="U141" s="289"/>
      <c r="V141" s="289"/>
      <c r="W141" s="107"/>
      <c r="X141" s="107"/>
    </row>
    <row r="142" spans="3:24" ht="15.75" customHeight="1">
      <c r="C142" s="328"/>
      <c r="D142" s="289"/>
      <c r="E142" s="289"/>
      <c r="F142" s="289"/>
      <c r="G142" s="289"/>
      <c r="H142" s="289"/>
      <c r="I142" s="289"/>
      <c r="J142" s="289"/>
      <c r="K142" s="289"/>
      <c r="L142" s="422"/>
      <c r="M142" s="289"/>
      <c r="N142" s="289"/>
      <c r="O142" s="289"/>
      <c r="P142" s="289"/>
      <c r="Q142" s="289"/>
      <c r="R142" s="289"/>
      <c r="S142" s="289"/>
      <c r="T142" s="289"/>
      <c r="U142" s="289"/>
      <c r="V142" s="289"/>
      <c r="W142" s="107"/>
      <c r="X142" s="107"/>
    </row>
    <row r="143" spans="3:24" ht="15.75" customHeight="1">
      <c r="C143" s="328"/>
      <c r="D143" s="289"/>
      <c r="E143" s="289"/>
      <c r="F143" s="289"/>
      <c r="G143" s="289"/>
      <c r="H143" s="289"/>
      <c r="I143" s="289"/>
      <c r="J143" s="289"/>
      <c r="K143" s="289"/>
      <c r="L143" s="422"/>
      <c r="M143" s="289"/>
      <c r="N143" s="289"/>
      <c r="O143" s="289"/>
      <c r="P143" s="289"/>
      <c r="Q143" s="289"/>
      <c r="R143" s="289"/>
      <c r="S143" s="289"/>
      <c r="T143" s="289"/>
      <c r="U143" s="289"/>
      <c r="V143" s="289"/>
      <c r="W143" s="107"/>
      <c r="X143" s="107"/>
    </row>
    <row r="144" spans="3:24" ht="15.75" customHeight="1">
      <c r="C144" s="328"/>
      <c r="D144" s="289"/>
      <c r="E144" s="289"/>
      <c r="F144" s="289"/>
      <c r="G144" s="289"/>
      <c r="H144" s="289"/>
      <c r="I144" s="289"/>
      <c r="J144" s="289"/>
      <c r="K144" s="289"/>
      <c r="L144" s="422"/>
      <c r="M144" s="289"/>
      <c r="N144" s="289"/>
      <c r="O144" s="289"/>
      <c r="P144" s="289"/>
      <c r="Q144" s="289"/>
      <c r="R144" s="289"/>
      <c r="S144" s="289"/>
      <c r="T144" s="289"/>
      <c r="U144" s="289"/>
      <c r="V144" s="289"/>
      <c r="W144" s="107"/>
      <c r="X144" s="107"/>
    </row>
    <row r="145" spans="3:24" ht="15.75" customHeight="1">
      <c r="C145" s="328"/>
      <c r="D145" s="289"/>
      <c r="E145" s="289"/>
      <c r="F145" s="289"/>
      <c r="G145" s="289"/>
      <c r="H145" s="289"/>
      <c r="I145" s="289"/>
      <c r="J145" s="289"/>
      <c r="K145" s="289"/>
      <c r="L145" s="422"/>
      <c r="M145" s="289"/>
      <c r="N145" s="289"/>
      <c r="O145" s="289"/>
      <c r="P145" s="289"/>
      <c r="Q145" s="289"/>
      <c r="R145" s="289"/>
      <c r="S145" s="289"/>
      <c r="T145" s="289"/>
      <c r="U145" s="289"/>
      <c r="V145" s="289"/>
      <c r="W145" s="107"/>
      <c r="X145" s="107"/>
    </row>
    <row r="146" spans="3:24" ht="15.75" customHeight="1">
      <c r="C146" s="328"/>
      <c r="D146" s="289"/>
      <c r="E146" s="289"/>
      <c r="F146" s="289"/>
      <c r="G146" s="289"/>
      <c r="H146" s="289"/>
      <c r="I146" s="289"/>
      <c r="J146" s="289"/>
      <c r="K146" s="289"/>
      <c r="L146" s="422"/>
      <c r="M146" s="289"/>
      <c r="N146" s="289"/>
      <c r="O146" s="289"/>
      <c r="P146" s="289"/>
      <c r="Q146" s="289"/>
      <c r="R146" s="289"/>
      <c r="S146" s="289"/>
      <c r="T146" s="289"/>
      <c r="U146" s="289"/>
      <c r="V146" s="289"/>
      <c r="W146" s="107"/>
      <c r="X146" s="107"/>
    </row>
    <row r="147" spans="3:24" ht="15.75" customHeight="1">
      <c r="C147" s="328"/>
      <c r="D147" s="289"/>
      <c r="E147" s="289"/>
      <c r="F147" s="289"/>
      <c r="G147" s="289"/>
      <c r="H147" s="289"/>
      <c r="I147" s="289"/>
      <c r="J147" s="289"/>
      <c r="K147" s="289"/>
      <c r="L147" s="422"/>
      <c r="M147" s="289"/>
      <c r="N147" s="289"/>
      <c r="O147" s="289"/>
      <c r="P147" s="289"/>
      <c r="Q147" s="289"/>
      <c r="R147" s="289"/>
      <c r="S147" s="289"/>
      <c r="T147" s="289"/>
      <c r="U147" s="289"/>
      <c r="V147" s="289"/>
      <c r="W147" s="107"/>
      <c r="X147" s="107"/>
    </row>
    <row r="148" spans="3:24" ht="15.75" customHeight="1">
      <c r="C148" s="328"/>
      <c r="D148" s="289"/>
      <c r="E148" s="289"/>
      <c r="F148" s="289"/>
      <c r="G148" s="289"/>
      <c r="H148" s="289"/>
      <c r="I148" s="289"/>
      <c r="J148" s="289"/>
      <c r="K148" s="289"/>
      <c r="L148" s="422"/>
      <c r="M148" s="289"/>
      <c r="N148" s="289"/>
      <c r="O148" s="289"/>
      <c r="P148" s="289"/>
      <c r="Q148" s="289"/>
      <c r="R148" s="289"/>
      <c r="S148" s="289"/>
      <c r="T148" s="289"/>
      <c r="U148" s="289"/>
      <c r="V148" s="289"/>
      <c r="W148" s="107"/>
      <c r="X148" s="107"/>
    </row>
    <row r="149" spans="3:24" ht="15.75" customHeight="1">
      <c r="C149" s="328"/>
      <c r="D149" s="289"/>
      <c r="E149" s="289"/>
      <c r="F149" s="289"/>
      <c r="G149" s="289"/>
      <c r="H149" s="289"/>
      <c r="I149" s="289"/>
      <c r="J149" s="289"/>
      <c r="K149" s="289"/>
      <c r="L149" s="422"/>
      <c r="M149" s="289"/>
      <c r="N149" s="289"/>
      <c r="O149" s="289"/>
      <c r="P149" s="289"/>
      <c r="Q149" s="289"/>
      <c r="R149" s="289"/>
      <c r="S149" s="289"/>
      <c r="T149" s="289"/>
      <c r="U149" s="289"/>
      <c r="V149" s="289"/>
      <c r="W149" s="107"/>
      <c r="X149" s="107"/>
    </row>
    <row r="150" spans="3:24" ht="15.75" customHeight="1">
      <c r="C150" s="328"/>
      <c r="D150" s="289"/>
      <c r="E150" s="289"/>
      <c r="F150" s="289"/>
      <c r="G150" s="289"/>
      <c r="H150" s="289"/>
      <c r="I150" s="289"/>
      <c r="J150" s="289"/>
      <c r="K150" s="289"/>
      <c r="L150" s="422"/>
      <c r="M150" s="289"/>
      <c r="N150" s="289"/>
      <c r="O150" s="289"/>
      <c r="P150" s="289"/>
      <c r="Q150" s="289"/>
      <c r="R150" s="289"/>
      <c r="S150" s="289"/>
      <c r="T150" s="289"/>
      <c r="U150" s="289"/>
      <c r="V150" s="289"/>
      <c r="W150" s="107"/>
      <c r="X150" s="107"/>
    </row>
    <row r="151" spans="3:24" ht="15.75" customHeight="1">
      <c r="C151" s="328"/>
      <c r="D151" s="289"/>
      <c r="E151" s="289"/>
      <c r="F151" s="289"/>
      <c r="G151" s="289"/>
      <c r="H151" s="289"/>
      <c r="I151" s="289"/>
      <c r="J151" s="289"/>
      <c r="K151" s="289"/>
      <c r="L151" s="422"/>
      <c r="M151" s="289"/>
      <c r="N151" s="289"/>
      <c r="O151" s="289"/>
      <c r="P151" s="289"/>
      <c r="Q151" s="289"/>
      <c r="R151" s="289"/>
      <c r="S151" s="289"/>
      <c r="T151" s="289"/>
      <c r="U151" s="289"/>
      <c r="V151" s="289"/>
      <c r="W151" s="107"/>
      <c r="X151" s="107"/>
    </row>
    <row r="152" spans="3:24" ht="15.75" customHeight="1">
      <c r="C152" s="328"/>
      <c r="D152" s="289"/>
      <c r="E152" s="289"/>
      <c r="F152" s="289"/>
      <c r="G152" s="289"/>
      <c r="H152" s="289"/>
      <c r="I152" s="289"/>
      <c r="J152" s="289"/>
      <c r="K152" s="289"/>
      <c r="L152" s="422"/>
      <c r="M152" s="289"/>
      <c r="N152" s="289"/>
      <c r="O152" s="289"/>
      <c r="P152" s="289"/>
      <c r="Q152" s="289"/>
      <c r="R152" s="289"/>
      <c r="S152" s="289"/>
      <c r="T152" s="289"/>
      <c r="U152" s="289"/>
      <c r="V152" s="289"/>
      <c r="W152" s="107"/>
      <c r="X152" s="107"/>
    </row>
    <row r="153" spans="3:24" ht="15.75" customHeight="1">
      <c r="C153" s="328"/>
      <c r="D153" s="289"/>
      <c r="E153" s="289"/>
      <c r="F153" s="289"/>
      <c r="G153" s="289"/>
      <c r="H153" s="289"/>
      <c r="I153" s="289"/>
      <c r="J153" s="289"/>
      <c r="K153" s="289"/>
      <c r="L153" s="422"/>
      <c r="M153" s="289"/>
      <c r="N153" s="289"/>
      <c r="O153" s="289"/>
      <c r="P153" s="289"/>
      <c r="Q153" s="289"/>
      <c r="R153" s="289"/>
      <c r="S153" s="289"/>
      <c r="T153" s="289"/>
      <c r="U153" s="289"/>
      <c r="V153" s="289"/>
      <c r="W153" s="107"/>
      <c r="X153" s="107"/>
    </row>
    <row r="154" spans="3:24" ht="15.75" customHeight="1">
      <c r="C154" s="328"/>
      <c r="D154" s="289"/>
      <c r="E154" s="289"/>
      <c r="F154" s="289"/>
      <c r="G154" s="289"/>
      <c r="H154" s="289"/>
      <c r="I154" s="289"/>
      <c r="J154" s="289"/>
      <c r="K154" s="289"/>
      <c r="L154" s="422"/>
      <c r="M154" s="289"/>
      <c r="N154" s="289"/>
      <c r="O154" s="289"/>
      <c r="P154" s="289"/>
      <c r="Q154" s="289"/>
      <c r="R154" s="289"/>
      <c r="S154" s="289"/>
      <c r="T154" s="289"/>
      <c r="U154" s="289"/>
      <c r="V154" s="289"/>
      <c r="W154" s="107"/>
      <c r="X154" s="107"/>
    </row>
    <row r="155" spans="3:24" ht="15.75" customHeight="1">
      <c r="C155" s="328"/>
      <c r="D155" s="289"/>
      <c r="E155" s="289"/>
      <c r="F155" s="289"/>
      <c r="G155" s="289"/>
      <c r="H155" s="289"/>
      <c r="I155" s="289"/>
      <c r="J155" s="289"/>
      <c r="K155" s="289"/>
      <c r="L155" s="422"/>
      <c r="M155" s="289"/>
      <c r="N155" s="289"/>
      <c r="O155" s="289"/>
      <c r="P155" s="289"/>
      <c r="Q155" s="289"/>
      <c r="R155" s="289"/>
      <c r="S155" s="289"/>
      <c r="T155" s="289"/>
      <c r="U155" s="289"/>
      <c r="V155" s="289"/>
      <c r="W155" s="107"/>
      <c r="X155" s="107"/>
    </row>
    <row r="156" spans="3:24" ht="15.75" customHeight="1">
      <c r="C156" s="328"/>
      <c r="D156" s="289"/>
      <c r="E156" s="289"/>
      <c r="F156" s="289"/>
      <c r="G156" s="289"/>
      <c r="H156" s="289"/>
      <c r="I156" s="289"/>
      <c r="J156" s="289"/>
      <c r="K156" s="289"/>
      <c r="L156" s="422"/>
      <c r="M156" s="289"/>
      <c r="N156" s="289"/>
      <c r="O156" s="289"/>
      <c r="P156" s="289"/>
      <c r="Q156" s="289"/>
      <c r="R156" s="289"/>
      <c r="S156" s="289"/>
      <c r="T156" s="289"/>
      <c r="U156" s="289"/>
      <c r="V156" s="289"/>
      <c r="W156" s="107"/>
      <c r="X156" s="107"/>
    </row>
    <row r="157" spans="3:24" ht="15.75" customHeight="1">
      <c r="C157" s="328"/>
      <c r="D157" s="289"/>
      <c r="E157" s="289"/>
      <c r="F157" s="289"/>
      <c r="G157" s="289"/>
      <c r="H157" s="289"/>
      <c r="I157" s="289"/>
      <c r="J157" s="289"/>
      <c r="K157" s="289"/>
      <c r="L157" s="422"/>
      <c r="M157" s="289"/>
      <c r="N157" s="289"/>
      <c r="O157" s="289"/>
      <c r="P157" s="289"/>
      <c r="Q157" s="289"/>
      <c r="R157" s="289"/>
      <c r="S157" s="289"/>
      <c r="T157" s="289"/>
      <c r="U157" s="289"/>
      <c r="V157" s="289"/>
      <c r="W157" s="107"/>
      <c r="X157" s="107"/>
    </row>
    <row r="158" spans="3:24" ht="15.75" customHeight="1">
      <c r="C158" s="328"/>
      <c r="D158" s="289"/>
      <c r="E158" s="289"/>
      <c r="F158" s="289"/>
      <c r="G158" s="289"/>
      <c r="H158" s="289"/>
      <c r="I158" s="289"/>
      <c r="J158" s="289"/>
      <c r="K158" s="289"/>
      <c r="L158" s="422"/>
      <c r="M158" s="289"/>
      <c r="N158" s="289"/>
      <c r="O158" s="289"/>
      <c r="P158" s="289"/>
      <c r="Q158" s="289"/>
      <c r="R158" s="289"/>
      <c r="S158" s="289"/>
      <c r="T158" s="289"/>
      <c r="U158" s="289"/>
      <c r="V158" s="289"/>
      <c r="W158" s="107"/>
      <c r="X158" s="107"/>
    </row>
    <row r="159" spans="3:24" ht="15.75" customHeight="1">
      <c r="C159" s="328"/>
      <c r="D159" s="289"/>
      <c r="E159" s="289"/>
      <c r="F159" s="289"/>
      <c r="G159" s="289"/>
      <c r="H159" s="289"/>
      <c r="I159" s="289"/>
      <c r="J159" s="289"/>
      <c r="K159" s="289"/>
      <c r="L159" s="422"/>
      <c r="M159" s="289"/>
      <c r="N159" s="289"/>
      <c r="O159" s="289"/>
      <c r="P159" s="289"/>
      <c r="Q159" s="289"/>
      <c r="R159" s="289"/>
      <c r="S159" s="289"/>
      <c r="T159" s="289"/>
      <c r="U159" s="289"/>
      <c r="V159" s="289"/>
      <c r="W159" s="107"/>
      <c r="X159" s="107"/>
    </row>
    <row r="160" spans="3:24" ht="15.75" customHeight="1">
      <c r="C160" s="328"/>
      <c r="D160" s="289"/>
      <c r="E160" s="289"/>
      <c r="F160" s="289"/>
      <c r="G160" s="289"/>
      <c r="H160" s="289"/>
      <c r="I160" s="289"/>
      <c r="J160" s="289"/>
      <c r="K160" s="289"/>
      <c r="L160" s="422"/>
      <c r="M160" s="289"/>
      <c r="N160" s="289"/>
      <c r="O160" s="289"/>
      <c r="P160" s="289"/>
      <c r="Q160" s="289"/>
      <c r="R160" s="289"/>
      <c r="S160" s="289"/>
      <c r="T160" s="289"/>
      <c r="U160" s="289"/>
      <c r="V160" s="289"/>
      <c r="W160" s="107"/>
      <c r="X160" s="107"/>
    </row>
    <row r="161" spans="3:24" ht="15.75" customHeight="1">
      <c r="C161" s="328"/>
      <c r="D161" s="289"/>
      <c r="E161" s="289"/>
      <c r="F161" s="289"/>
      <c r="G161" s="289"/>
      <c r="H161" s="289"/>
      <c r="I161" s="289"/>
      <c r="J161" s="289"/>
      <c r="K161" s="289"/>
      <c r="L161" s="422"/>
      <c r="M161" s="289"/>
      <c r="N161" s="289"/>
      <c r="O161" s="289"/>
      <c r="P161" s="289"/>
      <c r="Q161" s="289"/>
      <c r="R161" s="289"/>
      <c r="S161" s="289"/>
      <c r="T161" s="289"/>
      <c r="U161" s="289"/>
      <c r="V161" s="289"/>
      <c r="W161" s="107"/>
      <c r="X161" s="107"/>
    </row>
    <row r="162" spans="3:24" ht="15.75" customHeight="1">
      <c r="C162" s="328"/>
      <c r="D162" s="289"/>
      <c r="E162" s="289"/>
      <c r="F162" s="289"/>
      <c r="G162" s="289"/>
      <c r="H162" s="289"/>
      <c r="I162" s="289"/>
      <c r="J162" s="289"/>
      <c r="K162" s="289"/>
      <c r="L162" s="422"/>
      <c r="M162" s="289"/>
      <c r="N162" s="289"/>
      <c r="O162" s="289"/>
      <c r="P162" s="289"/>
      <c r="Q162" s="289"/>
      <c r="R162" s="289"/>
      <c r="S162" s="289"/>
      <c r="T162" s="289"/>
      <c r="U162" s="289"/>
      <c r="V162" s="289"/>
      <c r="W162" s="107"/>
      <c r="X162" s="107"/>
    </row>
    <row r="163" spans="3:24" ht="15.75" customHeight="1">
      <c r="C163" s="328"/>
      <c r="D163" s="289"/>
      <c r="E163" s="289"/>
      <c r="F163" s="289"/>
      <c r="G163" s="289"/>
      <c r="H163" s="289"/>
      <c r="I163" s="289"/>
      <c r="J163" s="289"/>
      <c r="K163" s="289"/>
      <c r="L163" s="422"/>
      <c r="M163" s="289"/>
      <c r="N163" s="289"/>
      <c r="O163" s="289"/>
      <c r="P163" s="289"/>
      <c r="Q163" s="289"/>
      <c r="R163" s="289"/>
      <c r="S163" s="289"/>
      <c r="T163" s="289"/>
      <c r="U163" s="289"/>
      <c r="V163" s="289"/>
      <c r="W163" s="107"/>
      <c r="X163" s="107"/>
    </row>
    <row r="164" spans="3:24" ht="15.75" customHeight="1">
      <c r="C164" s="328"/>
      <c r="D164" s="289"/>
      <c r="E164" s="289"/>
      <c r="F164" s="289"/>
      <c r="G164" s="289"/>
      <c r="H164" s="289"/>
      <c r="I164" s="289"/>
      <c r="J164" s="289"/>
      <c r="K164" s="289"/>
      <c r="L164" s="422"/>
      <c r="M164" s="289"/>
      <c r="N164" s="289"/>
      <c r="O164" s="289"/>
      <c r="P164" s="289"/>
      <c r="Q164" s="289"/>
      <c r="R164" s="289"/>
      <c r="S164" s="289"/>
      <c r="T164" s="289"/>
      <c r="U164" s="289"/>
      <c r="V164" s="289"/>
      <c r="W164" s="107"/>
      <c r="X164" s="107"/>
    </row>
    <row r="165" spans="3:24" ht="15.75" customHeight="1">
      <c r="C165" s="328"/>
      <c r="D165" s="289"/>
      <c r="E165" s="289"/>
      <c r="F165" s="289"/>
      <c r="G165" s="289"/>
      <c r="H165" s="289"/>
      <c r="I165" s="289"/>
      <c r="J165" s="289"/>
      <c r="K165" s="289"/>
      <c r="L165" s="422"/>
      <c r="M165" s="289"/>
      <c r="N165" s="289"/>
      <c r="O165" s="289"/>
      <c r="P165" s="289"/>
      <c r="Q165" s="289"/>
      <c r="R165" s="289"/>
      <c r="S165" s="289"/>
      <c r="T165" s="289"/>
      <c r="U165" s="289"/>
      <c r="V165" s="289"/>
      <c r="W165" s="107"/>
      <c r="X165" s="107"/>
    </row>
    <row r="166" spans="3:24" ht="15.75" customHeight="1">
      <c r="C166" s="328"/>
      <c r="D166" s="289"/>
      <c r="E166" s="289"/>
      <c r="F166" s="289"/>
      <c r="G166" s="289"/>
      <c r="H166" s="289"/>
      <c r="I166" s="289"/>
      <c r="J166" s="289"/>
      <c r="K166" s="289"/>
      <c r="L166" s="422"/>
      <c r="M166" s="289"/>
      <c r="N166" s="289"/>
      <c r="O166" s="289"/>
      <c r="P166" s="289"/>
      <c r="Q166" s="289"/>
      <c r="R166" s="289"/>
      <c r="S166" s="289"/>
      <c r="T166" s="289"/>
      <c r="U166" s="289"/>
      <c r="V166" s="289"/>
      <c r="W166" s="107"/>
      <c r="X166" s="107"/>
    </row>
    <row r="167" spans="3:24" ht="15.75" customHeight="1">
      <c r="C167" s="328"/>
      <c r="D167" s="289"/>
      <c r="E167" s="289"/>
      <c r="F167" s="289"/>
      <c r="G167" s="289"/>
      <c r="H167" s="289"/>
      <c r="I167" s="289"/>
      <c r="J167" s="289"/>
      <c r="K167" s="289"/>
      <c r="L167" s="422"/>
      <c r="M167" s="289"/>
      <c r="N167" s="289"/>
      <c r="O167" s="289"/>
      <c r="P167" s="289"/>
      <c r="Q167" s="289"/>
      <c r="R167" s="289"/>
      <c r="S167" s="289"/>
      <c r="T167" s="289"/>
      <c r="U167" s="289"/>
      <c r="V167" s="289"/>
      <c r="W167" s="107"/>
      <c r="X167" s="107"/>
    </row>
    <row r="168" spans="3:24" ht="15.75" customHeight="1">
      <c r="C168" s="328"/>
      <c r="D168" s="289"/>
      <c r="E168" s="289"/>
      <c r="F168" s="289"/>
      <c r="G168" s="289"/>
      <c r="H168" s="289"/>
      <c r="I168" s="289"/>
      <c r="J168" s="289"/>
      <c r="K168" s="289"/>
      <c r="L168" s="422"/>
      <c r="M168" s="289"/>
      <c r="N168" s="289"/>
      <c r="O168" s="289"/>
      <c r="P168" s="289"/>
      <c r="Q168" s="289"/>
      <c r="R168" s="289"/>
      <c r="S168" s="289"/>
      <c r="T168" s="289"/>
      <c r="U168" s="289"/>
      <c r="V168" s="289"/>
      <c r="W168" s="107"/>
      <c r="X168" s="107"/>
    </row>
    <row r="169" spans="3:24" ht="15.75" customHeight="1">
      <c r="C169" s="328"/>
      <c r="D169" s="289"/>
      <c r="E169" s="289"/>
      <c r="F169" s="289"/>
      <c r="G169" s="289"/>
      <c r="H169" s="289"/>
      <c r="I169" s="289"/>
      <c r="J169" s="289"/>
      <c r="K169" s="289"/>
      <c r="L169" s="422"/>
      <c r="M169" s="289"/>
      <c r="N169" s="289"/>
      <c r="O169" s="289"/>
      <c r="P169" s="289"/>
      <c r="Q169" s="289"/>
      <c r="R169" s="289"/>
      <c r="S169" s="289"/>
      <c r="T169" s="289"/>
      <c r="U169" s="289"/>
      <c r="V169" s="289"/>
      <c r="W169" s="107"/>
      <c r="X169" s="107"/>
    </row>
    <row r="170" spans="3:24" ht="15.75" customHeight="1">
      <c r="C170" s="328"/>
      <c r="D170" s="289"/>
      <c r="E170" s="289"/>
      <c r="F170" s="289"/>
      <c r="G170" s="289"/>
      <c r="H170" s="289"/>
      <c r="I170" s="289"/>
      <c r="J170" s="289"/>
      <c r="K170" s="289"/>
      <c r="L170" s="422"/>
      <c r="M170" s="289"/>
      <c r="N170" s="289"/>
      <c r="O170" s="289"/>
      <c r="P170" s="289"/>
      <c r="Q170" s="289"/>
      <c r="R170" s="289"/>
      <c r="S170" s="289"/>
      <c r="T170" s="289"/>
      <c r="U170" s="289"/>
      <c r="V170" s="289"/>
      <c r="W170" s="107"/>
      <c r="X170" s="107"/>
    </row>
    <row r="171" spans="3:24" ht="15.75" customHeight="1">
      <c r="C171" s="328"/>
      <c r="D171" s="289"/>
      <c r="E171" s="289"/>
      <c r="F171" s="289"/>
      <c r="G171" s="289"/>
      <c r="H171" s="289"/>
      <c r="I171" s="289"/>
      <c r="J171" s="289"/>
      <c r="K171" s="289"/>
      <c r="L171" s="422"/>
      <c r="M171" s="289"/>
      <c r="N171" s="289"/>
      <c r="O171" s="289"/>
      <c r="P171" s="289"/>
      <c r="Q171" s="289"/>
      <c r="R171" s="289"/>
      <c r="S171" s="289"/>
      <c r="T171" s="289"/>
      <c r="U171" s="289"/>
      <c r="V171" s="289"/>
      <c r="W171" s="107"/>
      <c r="X171" s="107"/>
    </row>
    <row r="172" spans="3:24" ht="15.75" customHeight="1">
      <c r="C172" s="328"/>
      <c r="D172" s="289"/>
      <c r="E172" s="289"/>
      <c r="F172" s="289"/>
      <c r="G172" s="289"/>
      <c r="H172" s="289"/>
      <c r="I172" s="289"/>
      <c r="J172" s="289"/>
      <c r="K172" s="289"/>
      <c r="L172" s="422"/>
      <c r="M172" s="289"/>
      <c r="N172" s="289"/>
      <c r="O172" s="289"/>
      <c r="P172" s="289"/>
      <c r="Q172" s="289"/>
      <c r="R172" s="289"/>
      <c r="S172" s="289"/>
      <c r="T172" s="289"/>
      <c r="U172" s="289"/>
      <c r="V172" s="289"/>
      <c r="W172" s="107"/>
      <c r="X172" s="107"/>
    </row>
    <row r="173" spans="3:24" ht="15.75" customHeight="1">
      <c r="C173" s="328"/>
      <c r="D173" s="289"/>
      <c r="E173" s="289"/>
      <c r="F173" s="289"/>
      <c r="G173" s="289"/>
      <c r="H173" s="289"/>
      <c r="I173" s="289"/>
      <c r="J173" s="289"/>
      <c r="K173" s="289"/>
      <c r="L173" s="422"/>
      <c r="M173" s="289"/>
      <c r="N173" s="289"/>
      <c r="O173" s="289"/>
      <c r="P173" s="289"/>
      <c r="Q173" s="289"/>
      <c r="R173" s="289"/>
      <c r="S173" s="289"/>
      <c r="T173" s="289"/>
      <c r="U173" s="289"/>
      <c r="V173" s="289"/>
      <c r="W173" s="107"/>
      <c r="X173" s="107"/>
    </row>
    <row r="174" spans="3:24" ht="15.75" customHeight="1">
      <c r="C174" s="328"/>
      <c r="D174" s="289"/>
      <c r="E174" s="289"/>
      <c r="F174" s="289"/>
      <c r="G174" s="289"/>
      <c r="H174" s="289"/>
      <c r="I174" s="289"/>
      <c r="J174" s="289"/>
      <c r="K174" s="289"/>
      <c r="L174" s="422"/>
      <c r="M174" s="289"/>
      <c r="N174" s="289"/>
      <c r="O174" s="289"/>
      <c r="P174" s="289"/>
      <c r="Q174" s="289"/>
      <c r="R174" s="289"/>
      <c r="S174" s="289"/>
      <c r="T174" s="289"/>
      <c r="U174" s="289"/>
      <c r="V174" s="289"/>
      <c r="W174" s="107"/>
      <c r="X174" s="107"/>
    </row>
    <row r="175" spans="3:24" ht="15.75" customHeight="1">
      <c r="C175" s="328"/>
      <c r="D175" s="289"/>
      <c r="E175" s="289"/>
      <c r="F175" s="289"/>
      <c r="G175" s="289"/>
      <c r="H175" s="289"/>
      <c r="I175" s="289"/>
      <c r="J175" s="289"/>
      <c r="K175" s="289"/>
      <c r="L175" s="422"/>
      <c r="M175" s="289"/>
      <c r="N175" s="289"/>
      <c r="O175" s="289"/>
      <c r="P175" s="289"/>
      <c r="Q175" s="289"/>
      <c r="R175" s="289"/>
      <c r="S175" s="289"/>
      <c r="T175" s="289"/>
      <c r="U175" s="289"/>
      <c r="V175" s="289"/>
      <c r="W175" s="107"/>
      <c r="X175" s="107"/>
    </row>
    <row r="176" spans="3:24" ht="15.75" customHeight="1">
      <c r="C176" s="328"/>
      <c r="D176" s="289"/>
      <c r="E176" s="289"/>
      <c r="F176" s="289"/>
      <c r="G176" s="289"/>
      <c r="H176" s="289"/>
      <c r="I176" s="289"/>
      <c r="J176" s="289"/>
      <c r="K176" s="289"/>
      <c r="L176" s="422"/>
      <c r="M176" s="289"/>
      <c r="N176" s="289"/>
      <c r="O176" s="289"/>
      <c r="P176" s="289"/>
      <c r="Q176" s="289"/>
      <c r="R176" s="289"/>
      <c r="S176" s="289"/>
      <c r="T176" s="289"/>
      <c r="U176" s="289"/>
      <c r="V176" s="289"/>
      <c r="W176" s="107"/>
      <c r="X176" s="107"/>
    </row>
    <row r="177" spans="3:24" ht="15.75" customHeight="1">
      <c r="C177" s="328"/>
      <c r="D177" s="289"/>
      <c r="E177" s="289"/>
      <c r="F177" s="289"/>
      <c r="G177" s="289"/>
      <c r="H177" s="289"/>
      <c r="I177" s="289"/>
      <c r="J177" s="289"/>
      <c r="K177" s="289"/>
      <c r="L177" s="422"/>
      <c r="M177" s="289"/>
      <c r="N177" s="289"/>
      <c r="O177" s="289"/>
      <c r="P177" s="289"/>
      <c r="Q177" s="289"/>
      <c r="R177" s="289"/>
      <c r="S177" s="289"/>
      <c r="T177" s="289"/>
      <c r="U177" s="289"/>
      <c r="V177" s="289"/>
      <c r="W177" s="107"/>
      <c r="X177" s="107"/>
    </row>
    <row r="178" spans="3:24" ht="15.75" customHeight="1">
      <c r="C178" s="328"/>
      <c r="D178" s="289"/>
      <c r="E178" s="289"/>
      <c r="F178" s="289"/>
      <c r="G178" s="289"/>
      <c r="H178" s="289"/>
      <c r="I178" s="289"/>
      <c r="J178" s="289"/>
      <c r="K178" s="289"/>
      <c r="L178" s="422"/>
      <c r="M178" s="289"/>
      <c r="N178" s="289"/>
      <c r="O178" s="289"/>
      <c r="P178" s="289"/>
      <c r="Q178" s="289"/>
      <c r="R178" s="289"/>
      <c r="S178" s="289"/>
      <c r="T178" s="289"/>
      <c r="U178" s="289"/>
      <c r="V178" s="289"/>
      <c r="W178" s="107"/>
      <c r="X178" s="107"/>
    </row>
    <row r="179" spans="3:24" ht="15.75" customHeight="1">
      <c r="C179" s="328"/>
      <c r="D179" s="289"/>
      <c r="E179" s="289"/>
      <c r="F179" s="289"/>
      <c r="G179" s="289"/>
      <c r="H179" s="289"/>
      <c r="I179" s="289"/>
      <c r="J179" s="289"/>
      <c r="K179" s="289"/>
      <c r="L179" s="422"/>
      <c r="M179" s="289"/>
      <c r="N179" s="289"/>
      <c r="O179" s="289"/>
      <c r="P179" s="289"/>
      <c r="Q179" s="289"/>
      <c r="R179" s="289"/>
      <c r="S179" s="289"/>
      <c r="T179" s="289"/>
      <c r="U179" s="289"/>
      <c r="V179" s="289"/>
      <c r="W179" s="107"/>
      <c r="X179" s="107"/>
    </row>
    <row r="180" spans="3:24" ht="15.75" customHeight="1">
      <c r="C180" s="328"/>
      <c r="D180" s="289"/>
      <c r="E180" s="289"/>
      <c r="F180" s="289"/>
      <c r="G180" s="289"/>
      <c r="H180" s="289"/>
      <c r="I180" s="289"/>
      <c r="J180" s="289"/>
      <c r="K180" s="289"/>
      <c r="L180" s="422"/>
      <c r="M180" s="289"/>
      <c r="N180" s="289"/>
      <c r="O180" s="289"/>
      <c r="P180" s="289"/>
      <c r="Q180" s="289"/>
      <c r="R180" s="289"/>
      <c r="S180" s="289"/>
      <c r="T180" s="289"/>
      <c r="U180" s="289"/>
      <c r="V180" s="289"/>
      <c r="W180" s="107"/>
      <c r="X180" s="107"/>
    </row>
    <row r="181" spans="3:24" ht="15.75" customHeight="1">
      <c r="C181" s="328"/>
      <c r="D181" s="289"/>
      <c r="E181" s="289"/>
      <c r="F181" s="289"/>
      <c r="G181" s="289"/>
      <c r="H181" s="289"/>
      <c r="I181" s="289"/>
      <c r="J181" s="289"/>
      <c r="K181" s="289"/>
      <c r="L181" s="422"/>
      <c r="M181" s="289"/>
      <c r="N181" s="289"/>
      <c r="O181" s="289"/>
      <c r="P181" s="289"/>
      <c r="Q181" s="289"/>
      <c r="R181" s="289"/>
      <c r="S181" s="289"/>
      <c r="T181" s="289"/>
      <c r="U181" s="289"/>
      <c r="V181" s="289"/>
      <c r="W181" s="107"/>
      <c r="X181" s="107"/>
    </row>
    <row r="182" spans="3:24" ht="15.75" customHeight="1">
      <c r="C182" s="328"/>
      <c r="D182" s="289"/>
      <c r="E182" s="289"/>
      <c r="F182" s="289"/>
      <c r="G182" s="289"/>
      <c r="H182" s="289"/>
      <c r="I182" s="289"/>
      <c r="J182" s="289"/>
      <c r="K182" s="289"/>
      <c r="L182" s="422"/>
      <c r="M182" s="289"/>
      <c r="N182" s="289"/>
      <c r="O182" s="289"/>
      <c r="P182" s="289"/>
      <c r="Q182" s="289"/>
      <c r="R182" s="289"/>
      <c r="S182" s="289"/>
      <c r="T182" s="289"/>
      <c r="U182" s="289"/>
      <c r="V182" s="289"/>
      <c r="W182" s="107"/>
      <c r="X182" s="107"/>
    </row>
    <row r="183" spans="3:24" ht="15.75" customHeight="1">
      <c r="C183" s="328"/>
      <c r="D183" s="289"/>
      <c r="E183" s="289"/>
      <c r="F183" s="289"/>
      <c r="G183" s="289"/>
      <c r="H183" s="289"/>
      <c r="I183" s="289"/>
      <c r="J183" s="289"/>
      <c r="K183" s="289"/>
      <c r="L183" s="422"/>
      <c r="M183" s="289"/>
      <c r="N183" s="289"/>
      <c r="O183" s="289"/>
      <c r="P183" s="289"/>
      <c r="Q183" s="289"/>
      <c r="R183" s="289"/>
      <c r="S183" s="289"/>
      <c r="T183" s="289"/>
      <c r="U183" s="289"/>
      <c r="V183" s="289"/>
      <c r="W183" s="107"/>
      <c r="X183" s="107"/>
    </row>
    <row r="184" spans="3:24" ht="15.75" customHeight="1">
      <c r="C184" s="328"/>
      <c r="D184" s="289"/>
      <c r="E184" s="289"/>
      <c r="F184" s="289"/>
      <c r="G184" s="289"/>
      <c r="H184" s="289"/>
      <c r="I184" s="289"/>
      <c r="J184" s="289"/>
      <c r="K184" s="289"/>
      <c r="L184" s="422"/>
      <c r="M184" s="289"/>
      <c r="N184" s="289"/>
      <c r="O184" s="289"/>
      <c r="P184" s="289"/>
      <c r="Q184" s="289"/>
      <c r="R184" s="289"/>
      <c r="S184" s="289"/>
      <c r="T184" s="289"/>
      <c r="U184" s="289"/>
      <c r="V184" s="289"/>
      <c r="W184" s="107"/>
      <c r="X184" s="107"/>
    </row>
    <row r="185" spans="3:24" ht="15.75" customHeight="1">
      <c r="C185" s="328"/>
      <c r="D185" s="289"/>
      <c r="E185" s="289"/>
      <c r="F185" s="289"/>
      <c r="G185" s="289"/>
      <c r="H185" s="289"/>
      <c r="I185" s="289"/>
      <c r="J185" s="289"/>
      <c r="K185" s="289"/>
      <c r="L185" s="422"/>
      <c r="M185" s="289"/>
      <c r="N185" s="289"/>
      <c r="O185" s="289"/>
      <c r="P185" s="289"/>
      <c r="Q185" s="289"/>
      <c r="R185" s="289"/>
      <c r="S185" s="289"/>
      <c r="T185" s="289"/>
      <c r="U185" s="289"/>
      <c r="V185" s="289"/>
      <c r="W185" s="107"/>
      <c r="X185" s="107"/>
    </row>
    <row r="186" spans="3:24" ht="15.75" customHeight="1">
      <c r="C186" s="328"/>
      <c r="D186" s="289"/>
      <c r="E186" s="289"/>
      <c r="F186" s="289"/>
      <c r="G186" s="289"/>
      <c r="H186" s="289"/>
      <c r="I186" s="289"/>
      <c r="J186" s="289"/>
      <c r="K186" s="289"/>
      <c r="L186" s="422"/>
      <c r="M186" s="289"/>
      <c r="N186" s="289"/>
      <c r="O186" s="289"/>
      <c r="P186" s="289"/>
      <c r="Q186" s="289"/>
      <c r="R186" s="289"/>
      <c r="S186" s="289"/>
      <c r="T186" s="289"/>
      <c r="U186" s="289"/>
      <c r="V186" s="289"/>
      <c r="W186" s="107"/>
      <c r="X186" s="107"/>
    </row>
    <row r="187" spans="3:24" ht="15.75" customHeight="1">
      <c r="C187" s="328"/>
      <c r="D187" s="289"/>
      <c r="E187" s="289"/>
      <c r="F187" s="289"/>
      <c r="G187" s="289"/>
      <c r="H187" s="289"/>
      <c r="I187" s="289"/>
      <c r="J187" s="289"/>
      <c r="K187" s="289"/>
      <c r="L187" s="422"/>
      <c r="M187" s="289"/>
      <c r="N187" s="289"/>
      <c r="O187" s="289"/>
      <c r="P187" s="289"/>
      <c r="Q187" s="289"/>
      <c r="R187" s="289"/>
      <c r="S187" s="289"/>
      <c r="T187" s="289"/>
      <c r="U187" s="289"/>
      <c r="V187" s="289"/>
      <c r="W187" s="107"/>
      <c r="X187" s="107"/>
    </row>
    <row r="188" spans="3:24" ht="15.75" customHeight="1">
      <c r="C188" s="328"/>
      <c r="D188" s="289"/>
      <c r="E188" s="289"/>
      <c r="F188" s="289"/>
      <c r="G188" s="289"/>
      <c r="H188" s="289"/>
      <c r="I188" s="289"/>
      <c r="J188" s="289"/>
      <c r="K188" s="289"/>
      <c r="L188" s="422"/>
      <c r="M188" s="289"/>
      <c r="N188" s="289"/>
      <c r="O188" s="289"/>
      <c r="P188" s="289"/>
      <c r="Q188" s="289"/>
      <c r="R188" s="289"/>
      <c r="S188" s="289"/>
      <c r="T188" s="289"/>
      <c r="U188" s="289"/>
      <c r="V188" s="289"/>
      <c r="W188" s="107"/>
      <c r="X188" s="107"/>
    </row>
    <row r="189" spans="3:24" ht="15.75" customHeight="1">
      <c r="C189" s="328"/>
      <c r="D189" s="289"/>
      <c r="E189" s="289"/>
      <c r="F189" s="289"/>
      <c r="G189" s="289"/>
      <c r="H189" s="289"/>
      <c r="I189" s="289"/>
      <c r="J189" s="289"/>
      <c r="K189" s="289"/>
      <c r="L189" s="422"/>
      <c r="M189" s="289"/>
      <c r="N189" s="289"/>
      <c r="O189" s="289"/>
      <c r="P189" s="289"/>
      <c r="Q189" s="289"/>
      <c r="R189" s="289"/>
      <c r="S189" s="289"/>
      <c r="T189" s="289"/>
      <c r="U189" s="289"/>
      <c r="V189" s="289"/>
      <c r="W189" s="107"/>
      <c r="X189" s="107"/>
    </row>
    <row r="190" spans="3:24" ht="15.75" customHeight="1">
      <c r="C190" s="328"/>
      <c r="D190" s="289"/>
      <c r="E190" s="289"/>
      <c r="F190" s="289"/>
      <c r="G190" s="289"/>
      <c r="H190" s="289"/>
      <c r="I190" s="289"/>
      <c r="J190" s="289"/>
      <c r="K190" s="289"/>
      <c r="L190" s="422"/>
      <c r="M190" s="289"/>
      <c r="N190" s="289"/>
      <c r="O190" s="289"/>
      <c r="P190" s="289"/>
      <c r="Q190" s="289"/>
      <c r="R190" s="289"/>
      <c r="S190" s="289"/>
      <c r="T190" s="289"/>
      <c r="U190" s="289"/>
      <c r="V190" s="289"/>
      <c r="W190" s="107"/>
      <c r="X190" s="107"/>
    </row>
    <row r="191" spans="3:24" ht="15.75" customHeight="1">
      <c r="C191" s="328"/>
      <c r="D191" s="289"/>
      <c r="E191" s="289"/>
      <c r="F191" s="289"/>
      <c r="G191" s="289"/>
      <c r="H191" s="289"/>
      <c r="I191" s="289"/>
      <c r="J191" s="289"/>
      <c r="K191" s="289"/>
      <c r="L191" s="422"/>
      <c r="M191" s="289"/>
      <c r="N191" s="289"/>
      <c r="O191" s="289"/>
      <c r="P191" s="289"/>
      <c r="Q191" s="289"/>
      <c r="R191" s="289"/>
      <c r="S191" s="289"/>
      <c r="T191" s="289"/>
      <c r="U191" s="289"/>
      <c r="V191" s="289"/>
      <c r="W191" s="107"/>
      <c r="X191" s="107"/>
    </row>
    <row r="192" spans="3:24" ht="15.75" customHeight="1">
      <c r="C192" s="328"/>
      <c r="D192" s="289"/>
      <c r="E192" s="289"/>
      <c r="F192" s="289"/>
      <c r="G192" s="289"/>
      <c r="H192" s="289"/>
      <c r="I192" s="289"/>
      <c r="J192" s="289"/>
      <c r="K192" s="289"/>
      <c r="L192" s="422"/>
      <c r="M192" s="289"/>
      <c r="N192" s="289"/>
      <c r="O192" s="289"/>
      <c r="P192" s="289"/>
      <c r="Q192" s="289"/>
      <c r="R192" s="289"/>
      <c r="S192" s="289"/>
      <c r="T192" s="289"/>
      <c r="U192" s="289"/>
      <c r="V192" s="289"/>
      <c r="W192" s="107"/>
      <c r="X192" s="107"/>
    </row>
    <row r="193" spans="3:24" ht="15.75" customHeight="1">
      <c r="C193" s="328"/>
      <c r="D193" s="289"/>
      <c r="E193" s="289"/>
      <c r="F193" s="289"/>
      <c r="G193" s="289"/>
      <c r="H193" s="289"/>
      <c r="I193" s="289"/>
      <c r="J193" s="289"/>
      <c r="K193" s="289"/>
      <c r="L193" s="422"/>
      <c r="M193" s="289"/>
      <c r="N193" s="289"/>
      <c r="O193" s="289"/>
      <c r="P193" s="289"/>
      <c r="Q193" s="289"/>
      <c r="R193" s="289"/>
      <c r="S193" s="289"/>
      <c r="T193" s="289"/>
      <c r="U193" s="289"/>
      <c r="V193" s="289"/>
      <c r="W193" s="107"/>
      <c r="X193" s="107"/>
    </row>
    <row r="194" spans="3:24" ht="15.75" customHeight="1">
      <c r="C194" s="328"/>
      <c r="D194" s="289"/>
      <c r="E194" s="289"/>
      <c r="F194" s="289"/>
      <c r="G194" s="289"/>
      <c r="H194" s="289"/>
      <c r="I194" s="289"/>
      <c r="J194" s="289"/>
      <c r="K194" s="289"/>
      <c r="L194" s="422"/>
      <c r="M194" s="289"/>
      <c r="N194" s="289"/>
      <c r="O194" s="289"/>
      <c r="P194" s="289"/>
      <c r="Q194" s="289"/>
      <c r="R194" s="289"/>
      <c r="S194" s="289"/>
      <c r="T194" s="289"/>
      <c r="U194" s="289"/>
      <c r="V194" s="289"/>
      <c r="W194" s="107"/>
      <c r="X194" s="107"/>
    </row>
    <row r="195" spans="3:24" ht="15.75" customHeight="1">
      <c r="C195" s="328"/>
      <c r="D195" s="289"/>
      <c r="E195" s="289"/>
      <c r="F195" s="289"/>
      <c r="G195" s="289"/>
      <c r="H195" s="289"/>
      <c r="I195" s="289"/>
      <c r="J195" s="289"/>
      <c r="K195" s="289"/>
      <c r="L195" s="422"/>
      <c r="M195" s="289"/>
      <c r="N195" s="289"/>
      <c r="O195" s="289"/>
      <c r="P195" s="289"/>
      <c r="Q195" s="289"/>
      <c r="R195" s="289"/>
      <c r="S195" s="289"/>
      <c r="T195" s="289"/>
      <c r="U195" s="289"/>
      <c r="V195" s="289"/>
      <c r="W195" s="107"/>
      <c r="X195" s="107"/>
    </row>
    <row r="196" spans="3:24" ht="15.75" customHeight="1">
      <c r="C196" s="328"/>
      <c r="D196" s="289"/>
      <c r="E196" s="289"/>
      <c r="F196" s="289"/>
      <c r="G196" s="289"/>
      <c r="H196" s="289"/>
      <c r="I196" s="289"/>
      <c r="J196" s="289"/>
      <c r="K196" s="289"/>
      <c r="L196" s="422"/>
      <c r="M196" s="289"/>
      <c r="N196" s="289"/>
      <c r="O196" s="289"/>
      <c r="P196" s="289"/>
      <c r="Q196" s="289"/>
      <c r="R196" s="289"/>
      <c r="S196" s="289"/>
      <c r="T196" s="289"/>
      <c r="U196" s="289"/>
      <c r="V196" s="289"/>
      <c r="W196" s="107"/>
      <c r="X196" s="107"/>
    </row>
    <row r="197" spans="3:24" ht="15.75" customHeight="1">
      <c r="C197" s="328"/>
      <c r="D197" s="289"/>
      <c r="E197" s="289"/>
      <c r="F197" s="289"/>
      <c r="G197" s="289"/>
      <c r="H197" s="289"/>
      <c r="I197" s="289"/>
      <c r="J197" s="289"/>
      <c r="K197" s="289"/>
      <c r="L197" s="422"/>
      <c r="M197" s="289"/>
      <c r="N197" s="289"/>
      <c r="O197" s="289"/>
      <c r="P197" s="289"/>
      <c r="Q197" s="289"/>
      <c r="R197" s="289"/>
      <c r="S197" s="289"/>
      <c r="T197" s="289"/>
      <c r="U197" s="289"/>
      <c r="V197" s="289"/>
      <c r="W197" s="107"/>
      <c r="X197" s="107"/>
    </row>
    <row r="198" spans="3:24" ht="15.75" customHeight="1">
      <c r="C198" s="328"/>
      <c r="D198" s="289"/>
      <c r="E198" s="289"/>
      <c r="F198" s="289"/>
      <c r="G198" s="289"/>
      <c r="H198" s="289"/>
      <c r="I198" s="289"/>
      <c r="J198" s="289"/>
      <c r="K198" s="289"/>
      <c r="L198" s="422"/>
      <c r="M198" s="289"/>
      <c r="N198" s="289"/>
      <c r="O198" s="289"/>
      <c r="P198" s="289"/>
      <c r="Q198" s="289"/>
      <c r="R198" s="289"/>
      <c r="S198" s="289"/>
      <c r="T198" s="289"/>
      <c r="U198" s="289"/>
      <c r="V198" s="289"/>
      <c r="W198" s="107"/>
      <c r="X198" s="107"/>
    </row>
    <row r="199" spans="3:24" ht="15.75" customHeight="1">
      <c r="C199" s="328"/>
      <c r="D199" s="289"/>
      <c r="E199" s="289"/>
      <c r="F199" s="289"/>
      <c r="G199" s="289"/>
      <c r="H199" s="289"/>
      <c r="I199" s="289"/>
      <c r="J199" s="289"/>
      <c r="K199" s="289"/>
      <c r="L199" s="422"/>
      <c r="M199" s="289"/>
      <c r="N199" s="289"/>
      <c r="O199" s="289"/>
      <c r="P199" s="289"/>
      <c r="Q199" s="289"/>
      <c r="R199" s="289"/>
      <c r="S199" s="289"/>
      <c r="T199" s="289"/>
      <c r="U199" s="289"/>
      <c r="V199" s="289"/>
      <c r="W199" s="107"/>
      <c r="X199" s="107"/>
    </row>
    <row r="200" spans="3:24" ht="15.75" customHeight="1">
      <c r="C200" s="328"/>
      <c r="D200" s="289"/>
      <c r="E200" s="289"/>
      <c r="F200" s="289"/>
      <c r="G200" s="289"/>
      <c r="H200" s="289"/>
      <c r="I200" s="289"/>
      <c r="J200" s="289"/>
      <c r="K200" s="289"/>
      <c r="L200" s="422"/>
      <c r="M200" s="289"/>
      <c r="N200" s="289"/>
      <c r="O200" s="289"/>
      <c r="P200" s="289"/>
      <c r="Q200" s="289"/>
      <c r="R200" s="289"/>
      <c r="S200" s="289"/>
      <c r="T200" s="289"/>
      <c r="U200" s="289"/>
      <c r="V200" s="289"/>
      <c r="W200" s="107"/>
      <c r="X200" s="107"/>
    </row>
    <row r="201" spans="3:24" ht="15.75" customHeight="1">
      <c r="C201" s="328"/>
      <c r="D201" s="289"/>
      <c r="E201" s="289"/>
      <c r="F201" s="289"/>
      <c r="G201" s="289"/>
      <c r="H201" s="289"/>
      <c r="I201" s="289"/>
      <c r="J201" s="289"/>
      <c r="K201" s="289"/>
      <c r="L201" s="422"/>
      <c r="M201" s="289"/>
      <c r="N201" s="289"/>
      <c r="O201" s="289"/>
      <c r="P201" s="289"/>
      <c r="Q201" s="289"/>
      <c r="R201" s="289"/>
      <c r="S201" s="289"/>
      <c r="T201" s="289"/>
      <c r="U201" s="289"/>
      <c r="V201" s="289"/>
      <c r="W201" s="107"/>
      <c r="X201" s="107"/>
    </row>
    <row r="202" spans="3:24" ht="15.75" customHeight="1">
      <c r="C202" s="328"/>
      <c r="D202" s="289"/>
      <c r="E202" s="289"/>
      <c r="F202" s="289"/>
      <c r="G202" s="289"/>
      <c r="H202" s="289"/>
      <c r="I202" s="289"/>
      <c r="J202" s="289"/>
      <c r="K202" s="289"/>
      <c r="L202" s="422"/>
      <c r="M202" s="289"/>
      <c r="N202" s="289"/>
      <c r="O202" s="289"/>
      <c r="P202" s="289"/>
      <c r="Q202" s="289"/>
      <c r="R202" s="289"/>
      <c r="S202" s="289"/>
      <c r="T202" s="289"/>
      <c r="U202" s="289"/>
      <c r="V202" s="289"/>
      <c r="W202" s="107"/>
      <c r="X202" s="107"/>
    </row>
    <row r="203" spans="3:24" ht="15.75" customHeight="1">
      <c r="C203" s="328"/>
      <c r="D203" s="289"/>
      <c r="E203" s="289"/>
      <c r="F203" s="289"/>
      <c r="G203" s="289"/>
      <c r="H203" s="289"/>
      <c r="I203" s="289"/>
      <c r="J203" s="289"/>
      <c r="K203" s="289"/>
      <c r="L203" s="422"/>
      <c r="M203" s="289"/>
      <c r="N203" s="289"/>
      <c r="O203" s="289"/>
      <c r="P203" s="289"/>
      <c r="Q203" s="289"/>
      <c r="R203" s="289"/>
      <c r="S203" s="289"/>
      <c r="T203" s="289"/>
      <c r="U203" s="289"/>
      <c r="V203" s="289"/>
      <c r="W203" s="107"/>
      <c r="X203" s="107"/>
    </row>
    <row r="204" spans="3:24" ht="15.75" customHeight="1">
      <c r="C204" s="328"/>
      <c r="D204" s="289"/>
      <c r="E204" s="289"/>
      <c r="F204" s="289"/>
      <c r="G204" s="289"/>
      <c r="H204" s="289"/>
      <c r="I204" s="289"/>
      <c r="J204" s="289"/>
      <c r="K204" s="289"/>
      <c r="L204" s="422"/>
      <c r="M204" s="289"/>
      <c r="N204" s="289"/>
      <c r="O204" s="289"/>
      <c r="P204" s="289"/>
      <c r="Q204" s="289"/>
      <c r="R204" s="289"/>
      <c r="S204" s="289"/>
      <c r="T204" s="289"/>
      <c r="U204" s="289"/>
      <c r="V204" s="289"/>
      <c r="W204" s="107"/>
      <c r="X204" s="107"/>
    </row>
    <row r="205" spans="3:24" ht="15.75" customHeight="1">
      <c r="C205" s="328"/>
      <c r="D205" s="289"/>
      <c r="E205" s="289"/>
      <c r="F205" s="289"/>
      <c r="G205" s="289"/>
      <c r="H205" s="289"/>
      <c r="I205" s="289"/>
      <c r="J205" s="289"/>
      <c r="K205" s="289"/>
      <c r="L205" s="422"/>
      <c r="M205" s="289"/>
      <c r="N205" s="289"/>
      <c r="O205" s="289"/>
      <c r="P205" s="289"/>
      <c r="Q205" s="289"/>
      <c r="R205" s="289"/>
      <c r="S205" s="289"/>
      <c r="T205" s="289"/>
      <c r="U205" s="289"/>
      <c r="V205" s="289"/>
      <c r="W205" s="107"/>
      <c r="X205" s="107"/>
    </row>
    <row r="206" spans="3:24" ht="15.75" customHeight="1">
      <c r="C206" s="328"/>
      <c r="D206" s="289"/>
      <c r="E206" s="289"/>
      <c r="F206" s="289"/>
      <c r="G206" s="289"/>
      <c r="H206" s="289"/>
      <c r="I206" s="289"/>
      <c r="J206" s="289"/>
      <c r="K206" s="289"/>
      <c r="L206" s="422"/>
      <c r="M206" s="289"/>
      <c r="N206" s="289"/>
      <c r="O206" s="289"/>
      <c r="P206" s="289"/>
      <c r="Q206" s="289"/>
      <c r="R206" s="289"/>
      <c r="S206" s="289"/>
      <c r="T206" s="289"/>
      <c r="U206" s="289"/>
      <c r="V206" s="289"/>
      <c r="W206" s="107"/>
      <c r="X206" s="107"/>
    </row>
    <row r="207" spans="3:24" ht="15.75" customHeight="1">
      <c r="C207" s="328"/>
      <c r="D207" s="289"/>
      <c r="E207" s="289"/>
      <c r="F207" s="289"/>
      <c r="G207" s="289"/>
      <c r="H207" s="289"/>
      <c r="I207" s="289"/>
      <c r="J207" s="289"/>
      <c r="K207" s="289"/>
      <c r="L207" s="422"/>
      <c r="M207" s="289"/>
      <c r="N207" s="289"/>
      <c r="O207" s="289"/>
      <c r="P207" s="289"/>
      <c r="Q207" s="289"/>
      <c r="R207" s="289"/>
      <c r="S207" s="289"/>
      <c r="T207" s="289"/>
      <c r="U207" s="289"/>
      <c r="V207" s="289"/>
      <c r="W207" s="107"/>
      <c r="X207" s="107"/>
    </row>
    <row r="208" spans="3:24" ht="15.75" customHeight="1">
      <c r="C208" s="328"/>
      <c r="D208" s="289"/>
      <c r="E208" s="289"/>
      <c r="F208" s="289"/>
      <c r="G208" s="289"/>
      <c r="H208" s="289"/>
      <c r="I208" s="289"/>
      <c r="J208" s="289"/>
      <c r="K208" s="289"/>
      <c r="L208" s="422"/>
      <c r="M208" s="289"/>
      <c r="N208" s="289"/>
      <c r="O208" s="289"/>
      <c r="P208" s="289"/>
      <c r="Q208" s="289"/>
      <c r="R208" s="289"/>
      <c r="S208" s="289"/>
      <c r="T208" s="289"/>
      <c r="U208" s="289"/>
      <c r="V208" s="289"/>
      <c r="W208" s="107"/>
      <c r="X208" s="107"/>
    </row>
    <row r="209" spans="3:24" ht="15.75" customHeight="1">
      <c r="C209" s="328"/>
      <c r="D209" s="289"/>
      <c r="E209" s="289"/>
      <c r="F209" s="289"/>
      <c r="G209" s="289"/>
      <c r="H209" s="289"/>
      <c r="I209" s="289"/>
      <c r="J209" s="289"/>
      <c r="K209" s="289"/>
      <c r="L209" s="422"/>
      <c r="M209" s="289"/>
      <c r="N209" s="289"/>
      <c r="O209" s="289"/>
      <c r="P209" s="289"/>
      <c r="Q209" s="289"/>
      <c r="R209" s="289"/>
      <c r="S209" s="289"/>
      <c r="T209" s="289"/>
      <c r="U209" s="289"/>
      <c r="V209" s="289"/>
      <c r="W209" s="107"/>
      <c r="X209" s="107"/>
    </row>
    <row r="210" spans="3:24" ht="15.75" customHeight="1">
      <c r="C210" s="328"/>
      <c r="D210" s="289"/>
      <c r="E210" s="289"/>
      <c r="F210" s="289"/>
      <c r="G210" s="289"/>
      <c r="H210" s="289"/>
      <c r="I210" s="289"/>
      <c r="J210" s="289"/>
      <c r="K210" s="289"/>
      <c r="L210" s="422"/>
      <c r="M210" s="289"/>
      <c r="N210" s="289"/>
      <c r="O210" s="289"/>
      <c r="P210" s="289"/>
      <c r="Q210" s="289"/>
      <c r="R210" s="289"/>
      <c r="S210" s="289"/>
      <c r="T210" s="289"/>
      <c r="U210" s="289"/>
      <c r="V210" s="289"/>
      <c r="W210" s="107"/>
      <c r="X210" s="107"/>
    </row>
    <row r="211" spans="3:24" ht="15.75" customHeight="1">
      <c r="C211" s="328"/>
      <c r="D211" s="289"/>
      <c r="E211" s="289"/>
      <c r="F211" s="289"/>
      <c r="G211" s="289"/>
      <c r="H211" s="289"/>
      <c r="I211" s="289"/>
      <c r="J211" s="289"/>
      <c r="K211" s="289"/>
      <c r="L211" s="422"/>
      <c r="M211" s="289"/>
      <c r="N211" s="289"/>
      <c r="O211" s="289"/>
      <c r="P211" s="289"/>
      <c r="Q211" s="289"/>
      <c r="R211" s="289"/>
      <c r="S211" s="289"/>
      <c r="T211" s="289"/>
      <c r="U211" s="289"/>
      <c r="V211" s="289"/>
      <c r="W211" s="107"/>
      <c r="X211" s="107"/>
    </row>
    <row r="212" spans="3:24" ht="15.75" customHeight="1">
      <c r="C212" s="328"/>
      <c r="D212" s="289"/>
      <c r="E212" s="289"/>
      <c r="F212" s="289"/>
      <c r="G212" s="289"/>
      <c r="H212" s="289"/>
      <c r="I212" s="289"/>
      <c r="J212" s="289"/>
      <c r="K212" s="289"/>
      <c r="L212" s="422"/>
      <c r="M212" s="289"/>
      <c r="N212" s="289"/>
      <c r="O212" s="289"/>
      <c r="P212" s="289"/>
      <c r="Q212" s="289"/>
      <c r="R212" s="289"/>
      <c r="S212" s="289"/>
      <c r="T212" s="289"/>
      <c r="U212" s="289"/>
      <c r="V212" s="289"/>
      <c r="W212" s="107"/>
      <c r="X212" s="107"/>
    </row>
    <row r="213" spans="3:24" ht="15.75" customHeight="1">
      <c r="C213" s="328"/>
      <c r="D213" s="289"/>
      <c r="E213" s="289"/>
      <c r="F213" s="289"/>
      <c r="G213" s="289"/>
      <c r="H213" s="289"/>
      <c r="I213" s="289"/>
      <c r="J213" s="289"/>
      <c r="K213" s="289"/>
      <c r="L213" s="422"/>
      <c r="M213" s="289"/>
      <c r="N213" s="289"/>
      <c r="O213" s="289"/>
      <c r="P213" s="289"/>
      <c r="Q213" s="289"/>
      <c r="R213" s="289"/>
      <c r="S213" s="289"/>
      <c r="T213" s="289"/>
      <c r="U213" s="289"/>
      <c r="V213" s="289"/>
      <c r="W213" s="107"/>
      <c r="X213" s="107"/>
    </row>
    <row r="214" spans="3:24" ht="15.75" customHeight="1">
      <c r="C214" s="328"/>
      <c r="D214" s="289"/>
      <c r="E214" s="289"/>
      <c r="F214" s="289"/>
      <c r="G214" s="289"/>
      <c r="H214" s="289"/>
      <c r="I214" s="289"/>
      <c r="J214" s="289"/>
      <c r="K214" s="289"/>
      <c r="L214" s="422"/>
      <c r="M214" s="289"/>
      <c r="N214" s="289"/>
      <c r="O214" s="289"/>
      <c r="P214" s="289"/>
      <c r="Q214" s="289"/>
      <c r="R214" s="289"/>
      <c r="S214" s="289"/>
      <c r="T214" s="289"/>
      <c r="U214" s="289"/>
      <c r="V214" s="289"/>
      <c r="W214" s="107"/>
      <c r="X214" s="107"/>
    </row>
    <row r="215" spans="3:24" ht="15.75" customHeight="1">
      <c r="C215" s="328"/>
      <c r="D215" s="289"/>
      <c r="E215" s="289"/>
      <c r="F215" s="289"/>
      <c r="G215" s="289"/>
      <c r="H215" s="289"/>
      <c r="I215" s="289"/>
      <c r="J215" s="289"/>
      <c r="K215" s="289"/>
      <c r="L215" s="422"/>
      <c r="M215" s="289"/>
      <c r="N215" s="289"/>
      <c r="O215" s="289"/>
      <c r="P215" s="289"/>
      <c r="Q215" s="289"/>
      <c r="R215" s="289"/>
      <c r="S215" s="289"/>
      <c r="T215" s="289"/>
      <c r="U215" s="289"/>
      <c r="V215" s="289"/>
      <c r="W215" s="107"/>
      <c r="X215" s="107"/>
    </row>
    <row r="216" spans="3:24" ht="15.75" customHeight="1">
      <c r="C216" s="328"/>
      <c r="D216" s="289"/>
      <c r="E216" s="289"/>
      <c r="F216" s="289"/>
      <c r="G216" s="289"/>
      <c r="H216" s="289"/>
      <c r="I216" s="289"/>
      <c r="J216" s="289"/>
      <c r="K216" s="289"/>
      <c r="L216" s="422"/>
      <c r="M216" s="289"/>
      <c r="N216" s="289"/>
      <c r="O216" s="289"/>
      <c r="P216" s="289"/>
      <c r="Q216" s="289"/>
      <c r="R216" s="289"/>
      <c r="S216" s="289"/>
      <c r="T216" s="289"/>
      <c r="U216" s="289"/>
      <c r="V216" s="289"/>
      <c r="W216" s="107"/>
      <c r="X216" s="107"/>
    </row>
    <row r="217" spans="3:24" ht="15.75" customHeight="1">
      <c r="C217" s="328"/>
      <c r="D217" s="289"/>
      <c r="E217" s="289"/>
      <c r="F217" s="289"/>
      <c r="G217" s="289"/>
      <c r="H217" s="289"/>
      <c r="I217" s="289"/>
      <c r="J217" s="289"/>
      <c r="K217" s="289"/>
      <c r="L217" s="422"/>
      <c r="M217" s="289"/>
      <c r="N217" s="289"/>
      <c r="O217" s="289"/>
      <c r="P217" s="289"/>
      <c r="Q217" s="289"/>
      <c r="R217" s="289"/>
      <c r="S217" s="289"/>
      <c r="T217" s="289"/>
      <c r="U217" s="289"/>
      <c r="V217" s="289"/>
      <c r="W217" s="107"/>
      <c r="X217" s="107"/>
    </row>
    <row r="218" spans="3:24" ht="15.75" customHeight="1">
      <c r="C218" s="328"/>
      <c r="D218" s="289"/>
      <c r="E218" s="289"/>
      <c r="F218" s="289"/>
      <c r="G218" s="289"/>
      <c r="H218" s="289"/>
      <c r="I218" s="289"/>
      <c r="J218" s="289"/>
      <c r="K218" s="289"/>
      <c r="L218" s="422"/>
      <c r="M218" s="289"/>
      <c r="N218" s="289"/>
      <c r="O218" s="289"/>
      <c r="P218" s="289"/>
      <c r="Q218" s="289"/>
      <c r="R218" s="289"/>
      <c r="S218" s="289"/>
      <c r="T218" s="289"/>
      <c r="U218" s="289"/>
      <c r="V218" s="289"/>
      <c r="W218" s="107"/>
      <c r="X218" s="107"/>
    </row>
    <row r="219" spans="3:24" ht="15.75" customHeight="1">
      <c r="C219" s="328"/>
      <c r="D219" s="289"/>
      <c r="E219" s="289"/>
      <c r="F219" s="289"/>
      <c r="G219" s="289"/>
      <c r="H219" s="289"/>
      <c r="I219" s="289"/>
      <c r="J219" s="289"/>
      <c r="K219" s="289"/>
      <c r="L219" s="422"/>
      <c r="M219" s="289"/>
      <c r="N219" s="289"/>
      <c r="O219" s="289"/>
      <c r="P219" s="289"/>
      <c r="Q219" s="289"/>
      <c r="R219" s="289"/>
      <c r="S219" s="289"/>
      <c r="T219" s="289"/>
      <c r="U219" s="289"/>
      <c r="V219" s="289"/>
      <c r="W219" s="107"/>
      <c r="X219" s="107"/>
    </row>
    <row r="220" spans="3:24" ht="15.75" customHeight="1">
      <c r="C220" s="328"/>
      <c r="D220" s="289"/>
      <c r="E220" s="289"/>
      <c r="F220" s="289"/>
      <c r="G220" s="289"/>
      <c r="H220" s="289"/>
      <c r="I220" s="289"/>
      <c r="J220" s="289"/>
      <c r="K220" s="289"/>
      <c r="L220" s="422"/>
      <c r="M220" s="289"/>
      <c r="N220" s="289"/>
      <c r="O220" s="289"/>
      <c r="P220" s="289"/>
      <c r="Q220" s="289"/>
      <c r="R220" s="289"/>
      <c r="S220" s="289"/>
      <c r="T220" s="289"/>
      <c r="U220" s="289"/>
      <c r="V220" s="289"/>
      <c r="W220" s="107"/>
      <c r="X220" s="107"/>
    </row>
    <row r="221" spans="3:24" ht="15.75" customHeight="1">
      <c r="C221" s="328"/>
      <c r="D221" s="289"/>
      <c r="E221" s="289"/>
      <c r="F221" s="289"/>
      <c r="G221" s="289"/>
      <c r="H221" s="289"/>
      <c r="I221" s="289"/>
      <c r="J221" s="289"/>
      <c r="K221" s="289"/>
      <c r="L221" s="422"/>
      <c r="M221" s="289"/>
      <c r="N221" s="289"/>
      <c r="O221" s="289"/>
      <c r="P221" s="289"/>
      <c r="Q221" s="289"/>
      <c r="R221" s="289"/>
      <c r="S221" s="289"/>
      <c r="T221" s="289"/>
      <c r="U221" s="289"/>
      <c r="V221" s="289"/>
      <c r="W221" s="107"/>
      <c r="X221" s="107"/>
    </row>
    <row r="222" spans="3:24" ht="15.75" customHeight="1">
      <c r="C222" s="328"/>
      <c r="D222" s="289"/>
      <c r="E222" s="289"/>
      <c r="F222" s="289"/>
      <c r="G222" s="289"/>
      <c r="H222" s="289"/>
      <c r="I222" s="289"/>
      <c r="J222" s="289"/>
      <c r="K222" s="289"/>
      <c r="L222" s="422"/>
      <c r="M222" s="289"/>
      <c r="N222" s="289"/>
      <c r="O222" s="289"/>
      <c r="P222" s="289"/>
      <c r="Q222" s="289"/>
      <c r="R222" s="289"/>
      <c r="S222" s="289"/>
      <c r="T222" s="289"/>
      <c r="U222" s="289"/>
      <c r="V222" s="289"/>
      <c r="W222" s="107"/>
      <c r="X222" s="107"/>
    </row>
    <row r="223" spans="3:24" ht="15.75" customHeight="1">
      <c r="C223" s="328"/>
      <c r="D223" s="289"/>
      <c r="E223" s="289"/>
      <c r="F223" s="289"/>
      <c r="G223" s="289"/>
      <c r="H223" s="289"/>
      <c r="I223" s="289"/>
      <c r="J223" s="289"/>
      <c r="K223" s="289"/>
      <c r="L223" s="422"/>
      <c r="M223" s="289"/>
      <c r="N223" s="289"/>
      <c r="O223" s="289"/>
      <c r="P223" s="289"/>
      <c r="Q223" s="289"/>
      <c r="R223" s="289"/>
      <c r="S223" s="289"/>
      <c r="T223" s="289"/>
      <c r="U223" s="289"/>
      <c r="V223" s="289"/>
      <c r="W223" s="107"/>
      <c r="X223" s="107"/>
    </row>
    <row r="224" spans="3:24" ht="15.75" customHeight="1">
      <c r="C224" s="328"/>
      <c r="D224" s="289"/>
      <c r="E224" s="289"/>
      <c r="F224" s="289"/>
      <c r="G224" s="289"/>
      <c r="H224" s="289"/>
      <c r="I224" s="289"/>
      <c r="J224" s="289"/>
      <c r="K224" s="289"/>
      <c r="L224" s="422"/>
      <c r="M224" s="289"/>
      <c r="N224" s="289"/>
      <c r="O224" s="289"/>
      <c r="P224" s="289"/>
      <c r="Q224" s="289"/>
      <c r="R224" s="289"/>
      <c r="S224" s="289"/>
      <c r="T224" s="289"/>
      <c r="U224" s="289"/>
      <c r="V224" s="289"/>
      <c r="W224" s="107"/>
      <c r="X224" s="107"/>
    </row>
    <row r="225" spans="3:24" ht="15.75" customHeight="1">
      <c r="C225" s="328"/>
      <c r="D225" s="289"/>
      <c r="E225" s="289"/>
      <c r="F225" s="289"/>
      <c r="G225" s="289"/>
      <c r="H225" s="289"/>
      <c r="I225" s="289"/>
      <c r="J225" s="289"/>
      <c r="K225" s="289"/>
      <c r="L225" s="422"/>
      <c r="M225" s="289"/>
      <c r="N225" s="289"/>
      <c r="O225" s="289"/>
      <c r="P225" s="289"/>
      <c r="Q225" s="289"/>
      <c r="R225" s="289"/>
      <c r="S225" s="289"/>
      <c r="T225" s="289"/>
      <c r="U225" s="289"/>
      <c r="V225" s="289"/>
      <c r="W225" s="107"/>
      <c r="X225" s="107"/>
    </row>
    <row r="226" spans="3:24" ht="15.75" customHeight="1">
      <c r="C226" s="328"/>
      <c r="D226" s="289"/>
      <c r="E226" s="289"/>
      <c r="F226" s="289"/>
      <c r="G226" s="289"/>
      <c r="H226" s="289"/>
      <c r="I226" s="289"/>
      <c r="J226" s="289"/>
      <c r="K226" s="289"/>
      <c r="L226" s="422"/>
      <c r="M226" s="289"/>
      <c r="N226" s="289"/>
      <c r="O226" s="289"/>
      <c r="P226" s="289"/>
      <c r="Q226" s="289"/>
      <c r="R226" s="289"/>
      <c r="S226" s="289"/>
      <c r="T226" s="289"/>
      <c r="U226" s="289"/>
      <c r="V226" s="289"/>
      <c r="W226" s="107"/>
      <c r="X226" s="107"/>
    </row>
    <row r="227" spans="3:24" ht="15.75" customHeight="1">
      <c r="C227" s="328"/>
      <c r="D227" s="289"/>
      <c r="E227" s="289"/>
      <c r="F227" s="289"/>
      <c r="G227" s="289"/>
      <c r="H227" s="289"/>
      <c r="I227" s="289"/>
      <c r="J227" s="289"/>
      <c r="K227" s="289"/>
      <c r="L227" s="422"/>
      <c r="M227" s="289"/>
      <c r="N227" s="289"/>
      <c r="O227" s="289"/>
      <c r="P227" s="289"/>
      <c r="Q227" s="289"/>
      <c r="R227" s="289"/>
      <c r="S227" s="289"/>
      <c r="T227" s="289"/>
      <c r="U227" s="289"/>
      <c r="V227" s="289"/>
      <c r="W227" s="107"/>
      <c r="X227" s="107"/>
    </row>
    <row r="228" spans="3:24" ht="15.75" customHeight="1">
      <c r="C228" s="328"/>
      <c r="D228" s="289"/>
      <c r="E228" s="289"/>
      <c r="F228" s="289"/>
      <c r="G228" s="289"/>
      <c r="H228" s="289"/>
      <c r="I228" s="289"/>
      <c r="J228" s="289"/>
      <c r="K228" s="289"/>
      <c r="L228" s="422"/>
      <c r="M228" s="289"/>
      <c r="N228" s="289"/>
      <c r="O228" s="289"/>
      <c r="P228" s="289"/>
      <c r="Q228" s="289"/>
      <c r="R228" s="289"/>
      <c r="S228" s="289"/>
      <c r="T228" s="289"/>
      <c r="U228" s="289"/>
      <c r="V228" s="289"/>
      <c r="W228" s="107"/>
      <c r="X228" s="107"/>
    </row>
    <row r="229" spans="3:24" ht="15.75" customHeight="1">
      <c r="C229" s="328"/>
      <c r="D229" s="289"/>
      <c r="E229" s="289"/>
      <c r="F229" s="289"/>
      <c r="G229" s="289"/>
      <c r="H229" s="289"/>
      <c r="I229" s="289"/>
      <c r="J229" s="289"/>
      <c r="K229" s="289"/>
      <c r="L229" s="422"/>
      <c r="M229" s="289"/>
      <c r="N229" s="289"/>
      <c r="O229" s="289"/>
      <c r="P229" s="289"/>
      <c r="Q229" s="289"/>
      <c r="R229" s="289"/>
      <c r="S229" s="289"/>
      <c r="T229" s="289"/>
      <c r="U229" s="289"/>
      <c r="V229" s="289"/>
      <c r="W229" s="107"/>
      <c r="X229" s="107"/>
    </row>
    <row r="230" spans="3:24" ht="15.75" customHeight="1">
      <c r="C230" s="328"/>
      <c r="D230" s="289"/>
      <c r="E230" s="289"/>
      <c r="F230" s="289"/>
      <c r="G230" s="289"/>
      <c r="H230" s="289"/>
      <c r="I230" s="289"/>
      <c r="J230" s="289"/>
      <c r="K230" s="289"/>
      <c r="L230" s="422"/>
      <c r="M230" s="289"/>
      <c r="N230" s="289"/>
      <c r="O230" s="289"/>
      <c r="P230" s="289"/>
      <c r="Q230" s="289"/>
      <c r="R230" s="289"/>
      <c r="S230" s="289"/>
      <c r="T230" s="289"/>
      <c r="U230" s="289"/>
      <c r="V230" s="289"/>
      <c r="W230" s="107"/>
      <c r="X230" s="107"/>
    </row>
    <row r="231" spans="3:24" ht="15.75" customHeight="1">
      <c r="C231" s="328"/>
      <c r="D231" s="289"/>
      <c r="E231" s="289"/>
      <c r="F231" s="289"/>
      <c r="G231" s="289"/>
      <c r="H231" s="289"/>
      <c r="I231" s="289"/>
      <c r="J231" s="289"/>
      <c r="K231" s="289"/>
      <c r="L231" s="422"/>
      <c r="M231" s="289"/>
      <c r="N231" s="289"/>
      <c r="O231" s="289"/>
      <c r="P231" s="289"/>
      <c r="Q231" s="289"/>
      <c r="R231" s="289"/>
      <c r="S231" s="289"/>
      <c r="T231" s="289"/>
      <c r="U231" s="289"/>
      <c r="V231" s="289"/>
      <c r="W231" s="107"/>
      <c r="X231" s="107"/>
    </row>
    <row r="232" spans="3:24" ht="15.75" customHeight="1">
      <c r="C232" s="328"/>
      <c r="D232" s="289"/>
      <c r="E232" s="289"/>
      <c r="F232" s="289"/>
      <c r="G232" s="289"/>
      <c r="H232" s="289"/>
      <c r="I232" s="289"/>
      <c r="J232" s="289"/>
      <c r="K232" s="289"/>
      <c r="L232" s="422"/>
      <c r="M232" s="289"/>
      <c r="N232" s="289"/>
      <c r="O232" s="289"/>
      <c r="P232" s="289"/>
      <c r="Q232" s="289"/>
      <c r="R232" s="289"/>
      <c r="S232" s="289"/>
      <c r="T232" s="289"/>
      <c r="U232" s="289"/>
      <c r="V232" s="289"/>
      <c r="W232" s="107"/>
      <c r="X232" s="107"/>
    </row>
    <row r="233" spans="3:24" ht="15.75" customHeight="1">
      <c r="C233" s="328"/>
      <c r="D233" s="289"/>
      <c r="E233" s="289"/>
      <c r="F233" s="289"/>
      <c r="G233" s="289"/>
      <c r="H233" s="289"/>
      <c r="I233" s="289"/>
      <c r="J233" s="289"/>
      <c r="K233" s="289"/>
      <c r="L233" s="422"/>
      <c r="M233" s="289"/>
      <c r="N233" s="289"/>
      <c r="O233" s="289"/>
      <c r="P233" s="289"/>
      <c r="Q233" s="289"/>
      <c r="R233" s="289"/>
      <c r="S233" s="289"/>
      <c r="T233" s="289"/>
      <c r="U233" s="289"/>
      <c r="V233" s="289"/>
      <c r="W233" s="107"/>
      <c r="X233" s="107"/>
    </row>
    <row r="234" spans="3:24" ht="15.75" customHeight="1">
      <c r="C234" s="328"/>
      <c r="D234" s="289"/>
      <c r="E234" s="289"/>
      <c r="F234" s="289"/>
      <c r="G234" s="289"/>
      <c r="H234" s="289"/>
      <c r="I234" s="289"/>
      <c r="J234" s="289"/>
      <c r="K234" s="289"/>
      <c r="L234" s="422"/>
      <c r="M234" s="289"/>
      <c r="N234" s="289"/>
      <c r="O234" s="289"/>
      <c r="P234" s="289"/>
      <c r="Q234" s="289"/>
      <c r="R234" s="289"/>
      <c r="S234" s="289"/>
      <c r="T234" s="289"/>
      <c r="U234" s="289"/>
      <c r="V234" s="289"/>
      <c r="W234" s="107"/>
      <c r="X234" s="107"/>
    </row>
    <row r="235" spans="3:24" ht="15.75" customHeight="1">
      <c r="C235" s="328"/>
      <c r="D235" s="289"/>
      <c r="E235" s="289"/>
      <c r="F235" s="289"/>
      <c r="G235" s="289"/>
      <c r="H235" s="289"/>
      <c r="I235" s="289"/>
      <c r="J235" s="289"/>
      <c r="K235" s="289"/>
      <c r="L235" s="422"/>
      <c r="M235" s="289"/>
      <c r="N235" s="289"/>
      <c r="O235" s="289"/>
      <c r="P235" s="289"/>
      <c r="Q235" s="289"/>
      <c r="R235" s="289"/>
      <c r="S235" s="289"/>
      <c r="T235" s="289"/>
      <c r="U235" s="289"/>
      <c r="V235" s="289"/>
      <c r="W235" s="107"/>
      <c r="X235" s="107"/>
    </row>
    <row r="236" spans="3:24" ht="15.75" customHeight="1">
      <c r="C236" s="328"/>
      <c r="D236" s="289"/>
      <c r="E236" s="289"/>
      <c r="F236" s="289"/>
      <c r="G236" s="289"/>
      <c r="H236" s="289"/>
      <c r="I236" s="289"/>
      <c r="J236" s="289"/>
      <c r="K236" s="289"/>
      <c r="L236" s="422"/>
      <c r="M236" s="289"/>
      <c r="N236" s="289"/>
      <c r="O236" s="289"/>
      <c r="P236" s="289"/>
      <c r="Q236" s="289"/>
      <c r="R236" s="289"/>
      <c r="S236" s="289"/>
      <c r="T236" s="289"/>
      <c r="U236" s="289"/>
      <c r="V236" s="289"/>
      <c r="W236" s="107"/>
      <c r="X236" s="107"/>
    </row>
    <row r="237" spans="3:24" ht="15.75" customHeight="1">
      <c r="C237" s="328"/>
      <c r="D237" s="289"/>
      <c r="E237" s="289"/>
      <c r="F237" s="289"/>
      <c r="G237" s="289"/>
      <c r="H237" s="289"/>
      <c r="I237" s="289"/>
      <c r="J237" s="289"/>
      <c r="K237" s="289"/>
      <c r="L237" s="422"/>
      <c r="M237" s="289"/>
      <c r="N237" s="289"/>
      <c r="O237" s="289"/>
      <c r="P237" s="289"/>
      <c r="Q237" s="289"/>
      <c r="R237" s="289"/>
      <c r="S237" s="289"/>
      <c r="T237" s="289"/>
      <c r="U237" s="289"/>
      <c r="V237" s="289"/>
      <c r="W237" s="107"/>
      <c r="X237" s="107"/>
    </row>
    <row r="238" spans="3:24" ht="15.75" customHeight="1">
      <c r="C238" s="328"/>
      <c r="D238" s="289"/>
      <c r="E238" s="289"/>
      <c r="F238" s="289"/>
      <c r="G238" s="289"/>
      <c r="H238" s="289"/>
      <c r="I238" s="289"/>
      <c r="J238" s="289"/>
      <c r="K238" s="289"/>
      <c r="L238" s="422"/>
      <c r="M238" s="289"/>
      <c r="N238" s="289"/>
      <c r="O238" s="289"/>
      <c r="P238" s="289"/>
      <c r="Q238" s="289"/>
      <c r="R238" s="289"/>
      <c r="S238" s="289"/>
      <c r="T238" s="289"/>
      <c r="U238" s="289"/>
      <c r="V238" s="289"/>
      <c r="W238" s="107"/>
      <c r="X238" s="107"/>
    </row>
    <row r="239" spans="3:24" ht="15.75" customHeight="1">
      <c r="C239" s="328"/>
      <c r="D239" s="289"/>
      <c r="E239" s="289"/>
      <c r="F239" s="289"/>
      <c r="G239" s="289"/>
      <c r="H239" s="289"/>
      <c r="I239" s="289"/>
      <c r="J239" s="289"/>
      <c r="K239" s="289"/>
      <c r="L239" s="422"/>
      <c r="M239" s="289"/>
      <c r="N239" s="289"/>
      <c r="O239" s="289"/>
      <c r="P239" s="289"/>
      <c r="Q239" s="289"/>
      <c r="R239" s="289"/>
      <c r="S239" s="289"/>
      <c r="T239" s="289"/>
      <c r="U239" s="289"/>
      <c r="V239" s="289"/>
      <c r="W239" s="107"/>
      <c r="X239" s="107"/>
    </row>
    <row r="240" spans="3:24" ht="15.75" customHeight="1">
      <c r="C240" s="328"/>
      <c r="D240" s="289"/>
      <c r="E240" s="289"/>
      <c r="F240" s="289"/>
      <c r="G240" s="289"/>
      <c r="H240" s="289"/>
      <c r="I240" s="289"/>
      <c r="J240" s="289"/>
      <c r="K240" s="289"/>
      <c r="L240" s="422"/>
      <c r="M240" s="289"/>
      <c r="N240" s="289"/>
      <c r="O240" s="289"/>
      <c r="P240" s="289"/>
      <c r="Q240" s="289"/>
      <c r="R240" s="289"/>
      <c r="S240" s="289"/>
      <c r="T240" s="289"/>
      <c r="U240" s="289"/>
      <c r="V240" s="289"/>
      <c r="W240" s="107"/>
      <c r="X240" s="107"/>
    </row>
    <row r="241" spans="12:12" ht="15.75" customHeight="1">
      <c r="L241" s="452"/>
    </row>
    <row r="242" spans="12:12" ht="15.75" customHeight="1">
      <c r="L242" s="452"/>
    </row>
    <row r="243" spans="12:12" ht="15.75" customHeight="1">
      <c r="L243" s="452"/>
    </row>
    <row r="244" spans="12:12" ht="15.75" customHeight="1">
      <c r="L244" s="452"/>
    </row>
    <row r="245" spans="12:12" ht="15.75" customHeight="1">
      <c r="L245" s="452"/>
    </row>
    <row r="246" spans="12:12" ht="15.75" customHeight="1">
      <c r="L246" s="452"/>
    </row>
    <row r="247" spans="12:12" ht="15.75" customHeight="1">
      <c r="L247" s="452"/>
    </row>
    <row r="248" spans="12:12" ht="15.75" customHeight="1">
      <c r="L248" s="452"/>
    </row>
    <row r="249" spans="12:12" ht="15.75" customHeight="1">
      <c r="L249" s="452"/>
    </row>
    <row r="250" spans="12:12" ht="15.75" customHeight="1">
      <c r="L250" s="452"/>
    </row>
    <row r="251" spans="12:12" ht="15.75" customHeight="1">
      <c r="L251" s="452"/>
    </row>
    <row r="252" spans="12:12" ht="15.75" customHeight="1">
      <c r="L252" s="452"/>
    </row>
    <row r="253" spans="12:12" ht="15.75" customHeight="1">
      <c r="L253" s="452"/>
    </row>
    <row r="254" spans="12:12" ht="15.75" customHeight="1">
      <c r="L254" s="452"/>
    </row>
    <row r="255" spans="12:12" ht="15.75" customHeight="1">
      <c r="L255" s="452"/>
    </row>
    <row r="256" spans="12:12" ht="15.75" customHeight="1">
      <c r="L256" s="452"/>
    </row>
    <row r="257" spans="12:12" ht="15.75" customHeight="1">
      <c r="L257" s="452"/>
    </row>
    <row r="258" spans="12:12" ht="15.75" customHeight="1">
      <c r="L258" s="452"/>
    </row>
    <row r="259" spans="12:12" ht="15.75" customHeight="1">
      <c r="L259" s="452"/>
    </row>
    <row r="260" spans="12:12" ht="15.75" customHeight="1">
      <c r="L260" s="452"/>
    </row>
    <row r="261" spans="12:12" ht="15.75" customHeight="1">
      <c r="L261" s="452"/>
    </row>
    <row r="262" spans="12:12" ht="15.75" customHeight="1">
      <c r="L262" s="452"/>
    </row>
    <row r="263" spans="12:12" ht="15.75" customHeight="1">
      <c r="L263" s="452"/>
    </row>
    <row r="264" spans="12:12" ht="15.75" customHeight="1">
      <c r="L264" s="452"/>
    </row>
    <row r="265" spans="12:12" ht="15.75" customHeight="1">
      <c r="L265" s="452"/>
    </row>
    <row r="266" spans="12:12" ht="15.75" customHeight="1">
      <c r="L266" s="452"/>
    </row>
    <row r="267" spans="12:12" ht="15.75" customHeight="1">
      <c r="L267" s="452"/>
    </row>
    <row r="268" spans="12:12" ht="15.75" customHeight="1">
      <c r="L268" s="452"/>
    </row>
    <row r="269" spans="12:12" ht="15.75" customHeight="1">
      <c r="L269" s="452"/>
    </row>
    <row r="270" spans="12:12" ht="15.75" customHeight="1">
      <c r="L270" s="452"/>
    </row>
    <row r="271" spans="12:12" ht="15.75" customHeight="1">
      <c r="L271" s="452"/>
    </row>
    <row r="272" spans="12:12" ht="15.75" customHeight="1">
      <c r="L272" s="452"/>
    </row>
    <row r="273" spans="12:12" ht="15.75" customHeight="1">
      <c r="L273" s="452"/>
    </row>
    <row r="274" spans="12:12" ht="15.75" customHeight="1">
      <c r="L274" s="452"/>
    </row>
    <row r="275" spans="12:12" ht="15.75" customHeight="1">
      <c r="L275" s="452"/>
    </row>
    <row r="276" spans="12:12" ht="15.75" customHeight="1">
      <c r="L276" s="452"/>
    </row>
    <row r="277" spans="12:12" ht="15.75" customHeight="1">
      <c r="L277" s="452"/>
    </row>
    <row r="278" spans="12:12" ht="15.75" customHeight="1">
      <c r="L278" s="452"/>
    </row>
    <row r="279" spans="12:12" ht="15.75" customHeight="1">
      <c r="L279" s="452"/>
    </row>
    <row r="280" spans="12:12" ht="15.75" customHeight="1">
      <c r="L280" s="452"/>
    </row>
    <row r="281" spans="12:12" ht="15.75" customHeight="1">
      <c r="L281" s="452"/>
    </row>
    <row r="282" spans="12:12" ht="15.75" customHeight="1">
      <c r="L282" s="452"/>
    </row>
    <row r="283" spans="12:12" ht="15.75" customHeight="1">
      <c r="L283" s="452"/>
    </row>
    <row r="284" spans="12:12" ht="15.75" customHeight="1">
      <c r="L284" s="452"/>
    </row>
    <row r="285" spans="12:12" ht="15.75" customHeight="1">
      <c r="L285" s="452"/>
    </row>
    <row r="286" spans="12:12" ht="15.75" customHeight="1">
      <c r="L286" s="452"/>
    </row>
    <row r="287" spans="12:12" ht="15.75" customHeight="1">
      <c r="L287" s="452"/>
    </row>
    <row r="288" spans="12:12" ht="15.75" customHeight="1">
      <c r="L288" s="452"/>
    </row>
    <row r="289" spans="12:12" ht="15.75" customHeight="1">
      <c r="L289" s="452"/>
    </row>
    <row r="290" spans="12:12" ht="15.75" customHeight="1">
      <c r="L290" s="452"/>
    </row>
    <row r="291" spans="12:12" ht="15.75" customHeight="1">
      <c r="L291" s="452"/>
    </row>
    <row r="292" spans="12:12" ht="15.75" customHeight="1">
      <c r="L292" s="452"/>
    </row>
    <row r="293" spans="12:12" ht="15.75" customHeight="1">
      <c r="L293" s="452"/>
    </row>
    <row r="294" spans="12:12" ht="15.75" customHeight="1">
      <c r="L294" s="452"/>
    </row>
    <row r="295" spans="12:12" ht="15.75" customHeight="1">
      <c r="L295" s="452"/>
    </row>
    <row r="296" spans="12:12" ht="15.75" customHeight="1">
      <c r="L296" s="452"/>
    </row>
    <row r="297" spans="12:12" ht="15.75" customHeight="1">
      <c r="L297" s="452"/>
    </row>
    <row r="298" spans="12:12" ht="15.75" customHeight="1">
      <c r="L298" s="452"/>
    </row>
    <row r="299" spans="12:12" ht="15.75" customHeight="1">
      <c r="L299" s="452"/>
    </row>
    <row r="300" spans="12:12" ht="15.75" customHeight="1">
      <c r="L300" s="452"/>
    </row>
    <row r="301" spans="12:12" ht="15.75" customHeight="1">
      <c r="L301" s="452"/>
    </row>
    <row r="302" spans="12:12" ht="15.75" customHeight="1">
      <c r="L302" s="452"/>
    </row>
    <row r="303" spans="12:12" ht="15.75" customHeight="1">
      <c r="L303" s="452"/>
    </row>
    <row r="304" spans="12:12" ht="15.75" customHeight="1">
      <c r="L304" s="452"/>
    </row>
    <row r="305" spans="12:12" ht="15.75" customHeight="1">
      <c r="L305" s="452"/>
    </row>
    <row r="306" spans="12:12" ht="15.75" customHeight="1">
      <c r="L306" s="452"/>
    </row>
    <row r="307" spans="12:12" ht="15.75" customHeight="1">
      <c r="L307" s="452"/>
    </row>
    <row r="308" spans="12:12" ht="15.75" customHeight="1">
      <c r="L308" s="452"/>
    </row>
    <row r="309" spans="12:12" ht="15.75" customHeight="1">
      <c r="L309" s="452"/>
    </row>
    <row r="310" spans="12:12" ht="15.75" customHeight="1">
      <c r="L310" s="452"/>
    </row>
    <row r="311" spans="12:12" ht="15.75" customHeight="1">
      <c r="L311" s="452"/>
    </row>
    <row r="312" spans="12:12" ht="15.75" customHeight="1">
      <c r="L312" s="452"/>
    </row>
    <row r="313" spans="12:12" ht="15.75" customHeight="1">
      <c r="L313" s="452"/>
    </row>
    <row r="314" spans="12:12" ht="15.75" customHeight="1">
      <c r="L314" s="452"/>
    </row>
    <row r="315" spans="12:12" ht="15.75" customHeight="1">
      <c r="L315" s="452"/>
    </row>
    <row r="316" spans="12:12" ht="15.75" customHeight="1">
      <c r="L316" s="452"/>
    </row>
    <row r="317" spans="12:12" ht="15.75" customHeight="1">
      <c r="L317" s="452"/>
    </row>
    <row r="318" spans="12:12" ht="15.75" customHeight="1">
      <c r="L318" s="452"/>
    </row>
    <row r="319" spans="12:12" ht="15.75" customHeight="1">
      <c r="L319" s="452"/>
    </row>
    <row r="320" spans="12:12" ht="15.75" customHeight="1">
      <c r="L320" s="452"/>
    </row>
    <row r="321" spans="12:12" ht="15.75" customHeight="1">
      <c r="L321" s="452"/>
    </row>
    <row r="322" spans="12:12" ht="15.75" customHeight="1">
      <c r="L322" s="452"/>
    </row>
    <row r="323" spans="12:12" ht="15.75" customHeight="1">
      <c r="L323" s="452"/>
    </row>
    <row r="324" spans="12:12" ht="15.75" customHeight="1">
      <c r="L324" s="452"/>
    </row>
    <row r="325" spans="12:12" ht="15.75" customHeight="1">
      <c r="L325" s="452"/>
    </row>
    <row r="326" spans="12:12" ht="15.75" customHeight="1">
      <c r="L326" s="452"/>
    </row>
    <row r="327" spans="12:12" ht="15.75" customHeight="1">
      <c r="L327" s="452"/>
    </row>
    <row r="328" spans="12:12" ht="15.75" customHeight="1">
      <c r="L328" s="452"/>
    </row>
    <row r="329" spans="12:12" ht="15.75" customHeight="1">
      <c r="L329" s="452"/>
    </row>
    <row r="330" spans="12:12" ht="15.75" customHeight="1">
      <c r="L330" s="452"/>
    </row>
    <row r="331" spans="12:12" ht="15.75" customHeight="1">
      <c r="L331" s="452"/>
    </row>
    <row r="332" spans="12:12" ht="15.75" customHeight="1">
      <c r="L332" s="452"/>
    </row>
    <row r="333" spans="12:12" ht="15.75" customHeight="1">
      <c r="L333" s="452"/>
    </row>
    <row r="334" spans="12:12" ht="15.75" customHeight="1">
      <c r="L334" s="452"/>
    </row>
    <row r="335" spans="12:12" ht="15.75" customHeight="1">
      <c r="L335" s="452"/>
    </row>
    <row r="336" spans="12:12" ht="15.75" customHeight="1">
      <c r="L336" s="452"/>
    </row>
    <row r="337" spans="12:12" ht="15.75" customHeight="1">
      <c r="L337" s="452"/>
    </row>
    <row r="338" spans="12:12" ht="15.75" customHeight="1">
      <c r="L338" s="452"/>
    </row>
    <row r="339" spans="12:12" ht="15.75" customHeight="1">
      <c r="L339" s="452"/>
    </row>
    <row r="340" spans="12:12" ht="15.75" customHeight="1">
      <c r="L340" s="452"/>
    </row>
    <row r="341" spans="12:12" ht="15.75" customHeight="1">
      <c r="L341" s="452"/>
    </row>
    <row r="342" spans="12:12" ht="15.75" customHeight="1">
      <c r="L342" s="452"/>
    </row>
    <row r="343" spans="12:12" ht="15.75" customHeight="1">
      <c r="L343" s="452"/>
    </row>
    <row r="344" spans="12:12" ht="15.75" customHeight="1">
      <c r="L344" s="452"/>
    </row>
    <row r="345" spans="12:12" ht="15.75" customHeight="1">
      <c r="L345" s="452"/>
    </row>
    <row r="346" spans="12:12" ht="15.75" customHeight="1">
      <c r="L346" s="452"/>
    </row>
    <row r="347" spans="12:12" ht="15.75" customHeight="1">
      <c r="L347" s="452"/>
    </row>
    <row r="348" spans="12:12" ht="15.75" customHeight="1">
      <c r="L348" s="452"/>
    </row>
    <row r="349" spans="12:12" ht="15.75" customHeight="1">
      <c r="L349" s="452"/>
    </row>
    <row r="350" spans="12:12" ht="15.75" customHeight="1">
      <c r="L350" s="452"/>
    </row>
    <row r="351" spans="12:12" ht="15.75" customHeight="1">
      <c r="L351" s="452"/>
    </row>
    <row r="352" spans="12:12" ht="15.75" customHeight="1">
      <c r="L352" s="452"/>
    </row>
    <row r="353" spans="12:12" ht="15.75" customHeight="1">
      <c r="L353" s="452"/>
    </row>
    <row r="354" spans="12:12" ht="15.75" customHeight="1">
      <c r="L354" s="452"/>
    </row>
    <row r="355" spans="12:12" ht="15.75" customHeight="1">
      <c r="L355" s="452"/>
    </row>
    <row r="356" spans="12:12" ht="15.75" customHeight="1">
      <c r="L356" s="452"/>
    </row>
    <row r="357" spans="12:12" ht="15.75" customHeight="1">
      <c r="L357" s="452"/>
    </row>
    <row r="358" spans="12:12" ht="15.75" customHeight="1">
      <c r="L358" s="452"/>
    </row>
    <row r="359" spans="12:12" ht="15.75" customHeight="1">
      <c r="L359" s="452"/>
    </row>
    <row r="360" spans="12:12" ht="15.75" customHeight="1">
      <c r="L360" s="452"/>
    </row>
    <row r="361" spans="12:12" ht="15.75" customHeight="1">
      <c r="L361" s="452"/>
    </row>
    <row r="362" spans="12:12" ht="15.75" customHeight="1">
      <c r="L362" s="452"/>
    </row>
    <row r="363" spans="12:12" ht="15.75" customHeight="1">
      <c r="L363" s="452"/>
    </row>
    <row r="364" spans="12:12" ht="15.75" customHeight="1">
      <c r="L364" s="452"/>
    </row>
    <row r="365" spans="12:12" ht="15.75" customHeight="1">
      <c r="L365" s="452"/>
    </row>
    <row r="366" spans="12:12" ht="15.75" customHeight="1">
      <c r="L366" s="452"/>
    </row>
    <row r="367" spans="12:12" ht="15.75" customHeight="1">
      <c r="L367" s="452"/>
    </row>
    <row r="368" spans="12:12" ht="15.75" customHeight="1">
      <c r="L368" s="452"/>
    </row>
    <row r="369" spans="12:12" ht="15.75" customHeight="1">
      <c r="L369" s="452"/>
    </row>
    <row r="370" spans="12:12" ht="15.75" customHeight="1">
      <c r="L370" s="452"/>
    </row>
    <row r="371" spans="12:12" ht="15.75" customHeight="1">
      <c r="L371" s="452"/>
    </row>
    <row r="372" spans="12:12" ht="15.75" customHeight="1">
      <c r="L372" s="452"/>
    </row>
    <row r="373" spans="12:12" ht="15.75" customHeight="1">
      <c r="L373" s="452"/>
    </row>
    <row r="374" spans="12:12" ht="15.75" customHeight="1">
      <c r="L374" s="452"/>
    </row>
    <row r="375" spans="12:12" ht="15.75" customHeight="1">
      <c r="L375" s="452"/>
    </row>
    <row r="376" spans="12:12" ht="15.75" customHeight="1">
      <c r="L376" s="452"/>
    </row>
    <row r="377" spans="12:12" ht="15.75" customHeight="1">
      <c r="L377" s="452"/>
    </row>
    <row r="378" spans="12:12" ht="15.75" customHeight="1">
      <c r="L378" s="452"/>
    </row>
    <row r="379" spans="12:12" ht="15.75" customHeight="1">
      <c r="L379" s="452"/>
    </row>
    <row r="380" spans="12:12" ht="15.75" customHeight="1">
      <c r="L380" s="452"/>
    </row>
    <row r="381" spans="12:12" ht="15.75" customHeight="1">
      <c r="L381" s="452"/>
    </row>
    <row r="382" spans="12:12" ht="15.75" customHeight="1">
      <c r="L382" s="452"/>
    </row>
    <row r="383" spans="12:12" ht="15.75" customHeight="1">
      <c r="L383" s="452"/>
    </row>
    <row r="384" spans="12:12" ht="15.75" customHeight="1">
      <c r="L384" s="452"/>
    </row>
    <row r="385" spans="12:12" ht="15.75" customHeight="1">
      <c r="L385" s="452"/>
    </row>
    <row r="386" spans="12:12" ht="15.75" customHeight="1">
      <c r="L386" s="452"/>
    </row>
    <row r="387" spans="12:12" ht="15.75" customHeight="1">
      <c r="L387" s="452"/>
    </row>
    <row r="388" spans="12:12" ht="15.75" customHeight="1">
      <c r="L388" s="452"/>
    </row>
    <row r="389" spans="12:12" ht="15.75" customHeight="1">
      <c r="L389" s="452"/>
    </row>
    <row r="390" spans="12:12" ht="15.75" customHeight="1">
      <c r="L390" s="452"/>
    </row>
    <row r="391" spans="12:12" ht="15.75" customHeight="1">
      <c r="L391" s="452"/>
    </row>
    <row r="392" spans="12:12" ht="15.75" customHeight="1">
      <c r="L392" s="452"/>
    </row>
    <row r="393" spans="12:12" ht="15.75" customHeight="1">
      <c r="L393" s="452"/>
    </row>
    <row r="394" spans="12:12" ht="15.75" customHeight="1">
      <c r="L394" s="452"/>
    </row>
    <row r="395" spans="12:12" ht="15.75" customHeight="1">
      <c r="L395" s="452"/>
    </row>
    <row r="396" spans="12:12" ht="15.75" customHeight="1">
      <c r="L396" s="452"/>
    </row>
    <row r="397" spans="12:12" ht="15.75" customHeight="1">
      <c r="L397" s="452"/>
    </row>
    <row r="398" spans="12:12" ht="15.75" customHeight="1">
      <c r="L398" s="452"/>
    </row>
    <row r="399" spans="12:12" ht="15.75" customHeight="1">
      <c r="L399" s="452"/>
    </row>
    <row r="400" spans="12:12" ht="15.75" customHeight="1">
      <c r="L400" s="452"/>
    </row>
    <row r="401" spans="12:12" ht="15.75" customHeight="1">
      <c r="L401" s="452"/>
    </row>
    <row r="402" spans="12:12" ht="15.75" customHeight="1">
      <c r="L402" s="452"/>
    </row>
    <row r="403" spans="12:12" ht="15.75" customHeight="1">
      <c r="L403" s="452"/>
    </row>
    <row r="404" spans="12:12" ht="15.75" customHeight="1">
      <c r="L404" s="452"/>
    </row>
    <row r="405" spans="12:12" ht="15.75" customHeight="1">
      <c r="L405" s="452"/>
    </row>
    <row r="406" spans="12:12" ht="15.75" customHeight="1">
      <c r="L406" s="452"/>
    </row>
    <row r="407" spans="12:12" ht="15.75" customHeight="1">
      <c r="L407" s="452"/>
    </row>
    <row r="408" spans="12:12" ht="15.75" customHeight="1">
      <c r="L408" s="452"/>
    </row>
    <row r="409" spans="12:12" ht="15.75" customHeight="1">
      <c r="L409" s="452"/>
    </row>
    <row r="410" spans="12:12" ht="15.75" customHeight="1">
      <c r="L410" s="452"/>
    </row>
    <row r="411" spans="12:12" ht="15.75" customHeight="1">
      <c r="L411" s="452"/>
    </row>
    <row r="412" spans="12:12" ht="15.75" customHeight="1">
      <c r="L412" s="452"/>
    </row>
    <row r="413" spans="12:12" ht="15.75" customHeight="1">
      <c r="L413" s="452"/>
    </row>
    <row r="414" spans="12:12" ht="15.75" customHeight="1">
      <c r="L414" s="452"/>
    </row>
    <row r="415" spans="12:12" ht="15.75" customHeight="1">
      <c r="L415" s="452"/>
    </row>
    <row r="416" spans="12:12" ht="15.75" customHeight="1">
      <c r="L416" s="452"/>
    </row>
    <row r="417" spans="12:12" ht="15.75" customHeight="1">
      <c r="L417" s="452"/>
    </row>
    <row r="418" spans="12:12" ht="15.75" customHeight="1">
      <c r="L418" s="452"/>
    </row>
    <row r="419" spans="12:12" ht="15.75" customHeight="1">
      <c r="L419" s="452"/>
    </row>
    <row r="420" spans="12:12" ht="15.75" customHeight="1">
      <c r="L420" s="452"/>
    </row>
    <row r="421" spans="12:12" ht="15.75" customHeight="1">
      <c r="L421" s="452"/>
    </row>
    <row r="422" spans="12:12" ht="15.75" customHeight="1">
      <c r="L422" s="452"/>
    </row>
    <row r="423" spans="12:12" ht="15.75" customHeight="1">
      <c r="L423" s="452"/>
    </row>
    <row r="424" spans="12:12" ht="15.75" customHeight="1">
      <c r="L424" s="452"/>
    </row>
    <row r="425" spans="12:12" ht="15.75" customHeight="1">
      <c r="L425" s="452"/>
    </row>
    <row r="426" spans="12:12" ht="15.75" customHeight="1">
      <c r="L426" s="452"/>
    </row>
    <row r="427" spans="12:12" ht="15.75" customHeight="1">
      <c r="L427" s="452"/>
    </row>
    <row r="428" spans="12:12" ht="15.75" customHeight="1">
      <c r="L428" s="452"/>
    </row>
    <row r="429" spans="12:12" ht="15.75" customHeight="1">
      <c r="L429" s="452"/>
    </row>
    <row r="430" spans="12:12" ht="15.75" customHeight="1">
      <c r="L430" s="452"/>
    </row>
    <row r="431" spans="12:12" ht="15.75" customHeight="1">
      <c r="L431" s="452"/>
    </row>
    <row r="432" spans="12:12" ht="15.75" customHeight="1">
      <c r="L432" s="452"/>
    </row>
    <row r="433" spans="12:12" ht="15.75" customHeight="1">
      <c r="L433" s="452"/>
    </row>
    <row r="434" spans="12:12" ht="15.75" customHeight="1">
      <c r="L434" s="452"/>
    </row>
    <row r="435" spans="12:12" ht="15.75" customHeight="1">
      <c r="L435" s="452"/>
    </row>
    <row r="436" spans="12:12" ht="15.75" customHeight="1">
      <c r="L436" s="452"/>
    </row>
    <row r="437" spans="12:12" ht="15.75" customHeight="1">
      <c r="L437" s="452"/>
    </row>
    <row r="438" spans="12:12" ht="15.75" customHeight="1">
      <c r="L438" s="452"/>
    </row>
    <row r="439" spans="12:12" ht="15.75" customHeight="1">
      <c r="L439" s="452"/>
    </row>
    <row r="440" spans="12:12" ht="15.75" customHeight="1">
      <c r="L440" s="452"/>
    </row>
    <row r="441" spans="12:12" ht="15.75" customHeight="1">
      <c r="L441" s="452"/>
    </row>
    <row r="442" spans="12:12" ht="15.75" customHeight="1">
      <c r="L442" s="452"/>
    </row>
    <row r="443" spans="12:12" ht="15.75" customHeight="1">
      <c r="L443" s="452"/>
    </row>
    <row r="444" spans="12:12" ht="15.75" customHeight="1">
      <c r="L444" s="452"/>
    </row>
    <row r="445" spans="12:12" ht="15.75" customHeight="1">
      <c r="L445" s="452"/>
    </row>
    <row r="446" spans="12:12" ht="15.75" customHeight="1">
      <c r="L446" s="452"/>
    </row>
    <row r="447" spans="12:12" ht="15.75" customHeight="1">
      <c r="L447" s="452"/>
    </row>
    <row r="448" spans="12:12" ht="15.75" customHeight="1">
      <c r="L448" s="452"/>
    </row>
    <row r="449" spans="12:12" ht="15.75" customHeight="1">
      <c r="L449" s="452"/>
    </row>
    <row r="450" spans="12:12" ht="15.75" customHeight="1">
      <c r="L450" s="452"/>
    </row>
    <row r="451" spans="12:12" ht="15.75" customHeight="1">
      <c r="L451" s="452"/>
    </row>
    <row r="452" spans="12:12" ht="15.75" customHeight="1">
      <c r="L452" s="452"/>
    </row>
    <row r="453" spans="12:12" ht="15.75" customHeight="1">
      <c r="L453" s="452"/>
    </row>
    <row r="454" spans="12:12" ht="15.75" customHeight="1">
      <c r="L454" s="452"/>
    </row>
    <row r="455" spans="12:12" ht="15.75" customHeight="1">
      <c r="L455" s="452"/>
    </row>
    <row r="456" spans="12:12" ht="15.75" customHeight="1">
      <c r="L456" s="452"/>
    </row>
    <row r="457" spans="12:12" ht="15.75" customHeight="1">
      <c r="L457" s="452"/>
    </row>
    <row r="458" spans="12:12" ht="15.75" customHeight="1">
      <c r="L458" s="452"/>
    </row>
    <row r="459" spans="12:12" ht="15.75" customHeight="1">
      <c r="L459" s="452"/>
    </row>
    <row r="460" spans="12:12" ht="15.75" customHeight="1">
      <c r="L460" s="452"/>
    </row>
    <row r="461" spans="12:12" ht="15.75" customHeight="1">
      <c r="L461" s="452"/>
    </row>
    <row r="462" spans="12:12" ht="15.75" customHeight="1">
      <c r="L462" s="452"/>
    </row>
    <row r="463" spans="12:12" ht="15.75" customHeight="1">
      <c r="L463" s="452"/>
    </row>
    <row r="464" spans="12:12" ht="15.75" customHeight="1">
      <c r="L464" s="452"/>
    </row>
    <row r="465" spans="12:12" ht="15.75" customHeight="1">
      <c r="L465" s="452"/>
    </row>
    <row r="466" spans="12:12" ht="15.75" customHeight="1">
      <c r="L466" s="452"/>
    </row>
    <row r="467" spans="12:12" ht="15.75" customHeight="1">
      <c r="L467" s="452"/>
    </row>
    <row r="468" spans="12:12" ht="15.75" customHeight="1">
      <c r="L468" s="452"/>
    </row>
    <row r="469" spans="12:12" ht="15.75" customHeight="1">
      <c r="L469" s="452"/>
    </row>
    <row r="470" spans="12:12" ht="15.75" customHeight="1">
      <c r="L470" s="452"/>
    </row>
    <row r="471" spans="12:12" ht="15.75" customHeight="1">
      <c r="L471" s="452"/>
    </row>
    <row r="472" spans="12:12" ht="15.75" customHeight="1">
      <c r="L472" s="452"/>
    </row>
    <row r="473" spans="12:12" ht="15.75" customHeight="1">
      <c r="L473" s="452"/>
    </row>
    <row r="474" spans="12:12" ht="15.75" customHeight="1">
      <c r="L474" s="452"/>
    </row>
    <row r="475" spans="12:12" ht="15.75" customHeight="1">
      <c r="L475" s="452"/>
    </row>
    <row r="476" spans="12:12" ht="15.75" customHeight="1">
      <c r="L476" s="452"/>
    </row>
    <row r="477" spans="12:12" ht="15.75" customHeight="1">
      <c r="L477" s="452"/>
    </row>
    <row r="478" spans="12:12" ht="15.75" customHeight="1">
      <c r="L478" s="452"/>
    </row>
    <row r="479" spans="12:12" ht="15.75" customHeight="1">
      <c r="L479" s="452"/>
    </row>
    <row r="480" spans="12:12" ht="15.75" customHeight="1">
      <c r="L480" s="452"/>
    </row>
    <row r="481" spans="12:12" ht="15.75" customHeight="1">
      <c r="L481" s="452"/>
    </row>
    <row r="482" spans="12:12" ht="15.75" customHeight="1">
      <c r="L482" s="452"/>
    </row>
    <row r="483" spans="12:12" ht="15.75" customHeight="1">
      <c r="L483" s="452"/>
    </row>
    <row r="484" spans="12:12" ht="15.75" customHeight="1">
      <c r="L484" s="452"/>
    </row>
    <row r="485" spans="12:12" ht="15.75" customHeight="1">
      <c r="L485" s="452"/>
    </row>
    <row r="486" spans="12:12" ht="15.75" customHeight="1">
      <c r="L486" s="452"/>
    </row>
    <row r="487" spans="12:12" ht="15.75" customHeight="1">
      <c r="L487" s="452"/>
    </row>
    <row r="488" spans="12:12" ht="15.75" customHeight="1">
      <c r="L488" s="452"/>
    </row>
    <row r="489" spans="12:12" ht="15.75" customHeight="1">
      <c r="L489" s="452"/>
    </row>
    <row r="490" spans="12:12" ht="15.75" customHeight="1">
      <c r="L490" s="452"/>
    </row>
    <row r="491" spans="12:12" ht="15.75" customHeight="1">
      <c r="L491" s="452"/>
    </row>
    <row r="492" spans="12:12" ht="15.75" customHeight="1">
      <c r="L492" s="452"/>
    </row>
    <row r="493" spans="12:12" ht="15.75" customHeight="1">
      <c r="L493" s="452"/>
    </row>
    <row r="494" spans="12:12" ht="15.75" customHeight="1">
      <c r="L494" s="452"/>
    </row>
    <row r="495" spans="12:12" ht="15.75" customHeight="1">
      <c r="L495" s="452"/>
    </row>
    <row r="496" spans="12:12" ht="15.75" customHeight="1">
      <c r="L496" s="452"/>
    </row>
    <row r="497" spans="12:12" ht="15.75" customHeight="1">
      <c r="L497" s="452"/>
    </row>
    <row r="498" spans="12:12" ht="15.75" customHeight="1">
      <c r="L498" s="452"/>
    </row>
    <row r="499" spans="12:12" ht="15.75" customHeight="1">
      <c r="L499" s="452"/>
    </row>
    <row r="500" spans="12:12" ht="15.75" customHeight="1">
      <c r="L500" s="452"/>
    </row>
    <row r="501" spans="12:12" ht="15.75" customHeight="1">
      <c r="L501" s="452"/>
    </row>
    <row r="502" spans="12:12" ht="15.75" customHeight="1">
      <c r="L502" s="452"/>
    </row>
    <row r="503" spans="12:12" ht="15.75" customHeight="1">
      <c r="L503" s="452"/>
    </row>
    <row r="504" spans="12:12" ht="15.75" customHeight="1">
      <c r="L504" s="452"/>
    </row>
    <row r="505" spans="12:12" ht="15.75" customHeight="1">
      <c r="L505" s="452"/>
    </row>
    <row r="506" spans="12:12" ht="15.75" customHeight="1">
      <c r="L506" s="452"/>
    </row>
    <row r="507" spans="12:12" ht="15.75" customHeight="1">
      <c r="L507" s="452"/>
    </row>
    <row r="508" spans="12:12" ht="15.75" customHeight="1">
      <c r="L508" s="452"/>
    </row>
    <row r="509" spans="12:12" ht="15.75" customHeight="1">
      <c r="L509" s="452"/>
    </row>
    <row r="510" spans="12:12" ht="15.75" customHeight="1">
      <c r="L510" s="452"/>
    </row>
    <row r="511" spans="12:12" ht="15.75" customHeight="1">
      <c r="L511" s="452"/>
    </row>
    <row r="512" spans="12:12" ht="15.75" customHeight="1">
      <c r="L512" s="452"/>
    </row>
    <row r="513" spans="12:12" ht="15.75" customHeight="1">
      <c r="L513" s="452"/>
    </row>
    <row r="514" spans="12:12" ht="15.75" customHeight="1">
      <c r="L514" s="452"/>
    </row>
    <row r="515" spans="12:12" ht="15.75" customHeight="1">
      <c r="L515" s="452"/>
    </row>
    <row r="516" spans="12:12" ht="15.75" customHeight="1">
      <c r="L516" s="452"/>
    </row>
    <row r="517" spans="12:12" ht="15.75" customHeight="1">
      <c r="L517" s="452"/>
    </row>
    <row r="518" spans="12:12" ht="15.75" customHeight="1">
      <c r="L518" s="452"/>
    </row>
    <row r="519" spans="12:12" ht="15.75" customHeight="1">
      <c r="L519" s="452"/>
    </row>
    <row r="520" spans="12:12" ht="15.75" customHeight="1">
      <c r="L520" s="452"/>
    </row>
    <row r="521" spans="12:12" ht="15.75" customHeight="1">
      <c r="L521" s="452"/>
    </row>
    <row r="522" spans="12:12" ht="15.75" customHeight="1">
      <c r="L522" s="452"/>
    </row>
    <row r="523" spans="12:12" ht="15.75" customHeight="1">
      <c r="L523" s="452"/>
    </row>
    <row r="524" spans="12:12" ht="15.75" customHeight="1">
      <c r="L524" s="452"/>
    </row>
    <row r="525" spans="12:12" ht="15.75" customHeight="1">
      <c r="L525" s="452"/>
    </row>
    <row r="526" spans="12:12" ht="15.75" customHeight="1">
      <c r="L526" s="452"/>
    </row>
    <row r="527" spans="12:12" ht="15.75" customHeight="1">
      <c r="L527" s="452"/>
    </row>
    <row r="528" spans="12:12" ht="15.75" customHeight="1">
      <c r="L528" s="452"/>
    </row>
    <row r="529" spans="12:12" ht="15.75" customHeight="1">
      <c r="L529" s="452"/>
    </row>
    <row r="530" spans="12:12" ht="15.75" customHeight="1">
      <c r="L530" s="452"/>
    </row>
    <row r="531" spans="12:12" ht="15.75" customHeight="1">
      <c r="L531" s="452"/>
    </row>
    <row r="532" spans="12:12" ht="15.75" customHeight="1">
      <c r="L532" s="452"/>
    </row>
    <row r="533" spans="12:12" ht="15.75" customHeight="1">
      <c r="L533" s="452"/>
    </row>
    <row r="534" spans="12:12" ht="15.75" customHeight="1">
      <c r="L534" s="452"/>
    </row>
    <row r="535" spans="12:12" ht="15.75" customHeight="1">
      <c r="L535" s="452"/>
    </row>
    <row r="536" spans="12:12" ht="15.75" customHeight="1">
      <c r="L536" s="452"/>
    </row>
    <row r="537" spans="12:12" ht="15.75" customHeight="1">
      <c r="L537" s="452"/>
    </row>
    <row r="538" spans="12:12" ht="15.75" customHeight="1">
      <c r="L538" s="452"/>
    </row>
    <row r="539" spans="12:12" ht="15.75" customHeight="1">
      <c r="L539" s="452"/>
    </row>
    <row r="540" spans="12:12" ht="15.75" customHeight="1">
      <c r="L540" s="452"/>
    </row>
    <row r="541" spans="12:12" ht="15.75" customHeight="1">
      <c r="L541" s="452"/>
    </row>
    <row r="542" spans="12:12" ht="15.75" customHeight="1">
      <c r="L542" s="452"/>
    </row>
    <row r="543" spans="12:12" ht="15.75" customHeight="1">
      <c r="L543" s="452"/>
    </row>
    <row r="544" spans="12:12" ht="15.75" customHeight="1">
      <c r="L544" s="452"/>
    </row>
    <row r="545" spans="12:12" ht="15.75" customHeight="1">
      <c r="L545" s="452"/>
    </row>
    <row r="546" spans="12:12" ht="15.75" customHeight="1">
      <c r="L546" s="452"/>
    </row>
    <row r="547" spans="12:12" ht="15.75" customHeight="1">
      <c r="L547" s="452"/>
    </row>
    <row r="548" spans="12:12" ht="15.75" customHeight="1">
      <c r="L548" s="452"/>
    </row>
    <row r="549" spans="12:12" ht="15.75" customHeight="1">
      <c r="L549" s="452"/>
    </row>
    <row r="550" spans="12:12" ht="15.75" customHeight="1">
      <c r="L550" s="452"/>
    </row>
    <row r="551" spans="12:12" ht="15.75" customHeight="1">
      <c r="L551" s="452"/>
    </row>
    <row r="552" spans="12:12" ht="15.75" customHeight="1">
      <c r="L552" s="452"/>
    </row>
    <row r="553" spans="12:12" ht="15.75" customHeight="1">
      <c r="L553" s="452"/>
    </row>
    <row r="554" spans="12:12" ht="15.75" customHeight="1">
      <c r="L554" s="452"/>
    </row>
    <row r="555" spans="12:12" ht="15.75" customHeight="1">
      <c r="L555" s="452"/>
    </row>
    <row r="556" spans="12:12" ht="15.75" customHeight="1">
      <c r="L556" s="452"/>
    </row>
    <row r="557" spans="12:12" ht="15.75" customHeight="1">
      <c r="L557" s="452"/>
    </row>
    <row r="558" spans="12:12" ht="15.75" customHeight="1">
      <c r="L558" s="452"/>
    </row>
    <row r="559" spans="12:12" ht="15.75" customHeight="1">
      <c r="L559" s="452"/>
    </row>
    <row r="560" spans="12:12" ht="15.75" customHeight="1">
      <c r="L560" s="452"/>
    </row>
    <row r="561" spans="12:12" ht="15.75" customHeight="1">
      <c r="L561" s="452"/>
    </row>
    <row r="562" spans="12:12" ht="15.75" customHeight="1">
      <c r="L562" s="452"/>
    </row>
    <row r="563" spans="12:12" ht="15.75" customHeight="1">
      <c r="L563" s="452"/>
    </row>
    <row r="564" spans="12:12" ht="15.75" customHeight="1">
      <c r="L564" s="452"/>
    </row>
    <row r="565" spans="12:12" ht="15.75" customHeight="1">
      <c r="L565" s="452"/>
    </row>
    <row r="566" spans="12:12" ht="15.75" customHeight="1">
      <c r="L566" s="452"/>
    </row>
    <row r="567" spans="12:12" ht="15.75" customHeight="1">
      <c r="L567" s="452"/>
    </row>
    <row r="568" spans="12:12" ht="15.75" customHeight="1">
      <c r="L568" s="452"/>
    </row>
    <row r="569" spans="12:12" ht="15.75" customHeight="1">
      <c r="L569" s="452"/>
    </row>
    <row r="570" spans="12:12" ht="15.75" customHeight="1">
      <c r="L570" s="452"/>
    </row>
    <row r="571" spans="12:12" ht="15.75" customHeight="1">
      <c r="L571" s="452"/>
    </row>
    <row r="572" spans="12:12" ht="15.75" customHeight="1">
      <c r="L572" s="452"/>
    </row>
    <row r="573" spans="12:12" ht="15.75" customHeight="1">
      <c r="L573" s="452"/>
    </row>
    <row r="574" spans="12:12" ht="15.75" customHeight="1">
      <c r="L574" s="452"/>
    </row>
    <row r="575" spans="12:12" ht="15.75" customHeight="1">
      <c r="L575" s="452"/>
    </row>
    <row r="576" spans="12:12" ht="15.75" customHeight="1">
      <c r="L576" s="452"/>
    </row>
    <row r="577" spans="12:12" ht="15.75" customHeight="1">
      <c r="L577" s="452"/>
    </row>
    <row r="578" spans="12:12" ht="15.75" customHeight="1">
      <c r="L578" s="452"/>
    </row>
    <row r="579" spans="12:12" ht="15.75" customHeight="1">
      <c r="L579" s="452"/>
    </row>
    <row r="580" spans="12:12" ht="15.75" customHeight="1">
      <c r="L580" s="452"/>
    </row>
    <row r="581" spans="12:12" ht="15.75" customHeight="1">
      <c r="L581" s="452"/>
    </row>
    <row r="582" spans="12:12" ht="15.75" customHeight="1">
      <c r="L582" s="452"/>
    </row>
    <row r="583" spans="12:12" ht="15.75" customHeight="1">
      <c r="L583" s="452"/>
    </row>
    <row r="584" spans="12:12" ht="15.75" customHeight="1">
      <c r="L584" s="452"/>
    </row>
    <row r="585" spans="12:12" ht="15.75" customHeight="1">
      <c r="L585" s="452"/>
    </row>
    <row r="586" spans="12:12" ht="15.75" customHeight="1">
      <c r="L586" s="452"/>
    </row>
    <row r="587" spans="12:12" ht="15.75" customHeight="1">
      <c r="L587" s="452"/>
    </row>
    <row r="588" spans="12:12" ht="15.75" customHeight="1">
      <c r="L588" s="452"/>
    </row>
    <row r="589" spans="12:12" ht="15.75" customHeight="1">
      <c r="L589" s="452"/>
    </row>
    <row r="590" spans="12:12" ht="15.75" customHeight="1">
      <c r="L590" s="452"/>
    </row>
    <row r="591" spans="12:12" ht="15.75" customHeight="1">
      <c r="L591" s="452"/>
    </row>
    <row r="592" spans="12:12" ht="15.75" customHeight="1">
      <c r="L592" s="452"/>
    </row>
    <row r="593" spans="12:12" ht="15.75" customHeight="1">
      <c r="L593" s="452"/>
    </row>
    <row r="594" spans="12:12" ht="15.75" customHeight="1">
      <c r="L594" s="452"/>
    </row>
    <row r="595" spans="12:12" ht="15.75" customHeight="1">
      <c r="L595" s="452"/>
    </row>
    <row r="596" spans="12:12" ht="15.75" customHeight="1">
      <c r="L596" s="452"/>
    </row>
    <row r="597" spans="12:12" ht="15.75" customHeight="1">
      <c r="L597" s="452"/>
    </row>
    <row r="598" spans="12:12" ht="15.75" customHeight="1">
      <c r="L598" s="452"/>
    </row>
    <row r="599" spans="12:12" ht="15.75" customHeight="1">
      <c r="L599" s="452"/>
    </row>
    <row r="600" spans="12:12" ht="15.75" customHeight="1">
      <c r="L600" s="452"/>
    </row>
    <row r="601" spans="12:12" ht="15.75" customHeight="1">
      <c r="L601" s="452"/>
    </row>
    <row r="602" spans="12:12" ht="15.75" customHeight="1">
      <c r="L602" s="452"/>
    </row>
    <row r="603" spans="12:12" ht="15.75" customHeight="1">
      <c r="L603" s="452"/>
    </row>
    <row r="604" spans="12:12" ht="15.75" customHeight="1">
      <c r="L604" s="452"/>
    </row>
    <row r="605" spans="12:12" ht="15.75" customHeight="1">
      <c r="L605" s="452"/>
    </row>
    <row r="606" spans="12:12" ht="15.75" customHeight="1">
      <c r="L606" s="452"/>
    </row>
    <row r="607" spans="12:12" ht="15.75" customHeight="1">
      <c r="L607" s="452"/>
    </row>
    <row r="608" spans="12:12" ht="15.75" customHeight="1">
      <c r="L608" s="452"/>
    </row>
    <row r="609" spans="12:12" ht="15.75" customHeight="1">
      <c r="L609" s="452"/>
    </row>
    <row r="610" spans="12:12" ht="15.75" customHeight="1">
      <c r="L610" s="452"/>
    </row>
    <row r="611" spans="12:12" ht="15.75" customHeight="1">
      <c r="L611" s="452"/>
    </row>
    <row r="612" spans="12:12" ht="15.75" customHeight="1">
      <c r="L612" s="452"/>
    </row>
    <row r="613" spans="12:12" ht="15.75" customHeight="1">
      <c r="L613" s="452"/>
    </row>
    <row r="614" spans="12:12" ht="15.75" customHeight="1">
      <c r="L614" s="452"/>
    </row>
    <row r="615" spans="12:12" ht="15.75" customHeight="1">
      <c r="L615" s="452"/>
    </row>
    <row r="616" spans="12:12" ht="15.75" customHeight="1">
      <c r="L616" s="452"/>
    </row>
    <row r="617" spans="12:12" ht="15.75" customHeight="1">
      <c r="L617" s="452"/>
    </row>
    <row r="618" spans="12:12" ht="15.75" customHeight="1">
      <c r="L618" s="452"/>
    </row>
    <row r="619" spans="12:12" ht="15.75" customHeight="1">
      <c r="L619" s="452"/>
    </row>
    <row r="620" spans="12:12" ht="15.75" customHeight="1">
      <c r="L620" s="452"/>
    </row>
    <row r="621" spans="12:12" ht="15.75" customHeight="1">
      <c r="L621" s="452"/>
    </row>
    <row r="622" spans="12:12" ht="15.75" customHeight="1">
      <c r="L622" s="452"/>
    </row>
    <row r="623" spans="12:12" ht="15.75" customHeight="1">
      <c r="L623" s="452"/>
    </row>
    <row r="624" spans="12:12" ht="15.75" customHeight="1">
      <c r="L624" s="452"/>
    </row>
    <row r="625" spans="12:12" ht="15.75" customHeight="1">
      <c r="L625" s="452"/>
    </row>
    <row r="626" spans="12:12" ht="15.75" customHeight="1">
      <c r="L626" s="452"/>
    </row>
    <row r="627" spans="12:12" ht="15.75" customHeight="1">
      <c r="L627" s="452"/>
    </row>
    <row r="628" spans="12:12" ht="15.75" customHeight="1">
      <c r="L628" s="452"/>
    </row>
    <row r="629" spans="12:12" ht="15.75" customHeight="1">
      <c r="L629" s="452"/>
    </row>
    <row r="630" spans="12:12" ht="15.75" customHeight="1">
      <c r="L630" s="452"/>
    </row>
    <row r="631" spans="12:12" ht="15.75" customHeight="1">
      <c r="L631" s="452"/>
    </row>
    <row r="632" spans="12:12" ht="15.75" customHeight="1">
      <c r="L632" s="452"/>
    </row>
    <row r="633" spans="12:12" ht="15.75" customHeight="1">
      <c r="L633" s="452"/>
    </row>
    <row r="634" spans="12:12" ht="15.75" customHeight="1">
      <c r="L634" s="452"/>
    </row>
    <row r="635" spans="12:12" ht="15.75" customHeight="1">
      <c r="L635" s="452"/>
    </row>
    <row r="636" spans="12:12" ht="15.75" customHeight="1">
      <c r="L636" s="452"/>
    </row>
    <row r="637" spans="12:12" ht="15.75" customHeight="1">
      <c r="L637" s="452"/>
    </row>
    <row r="638" spans="12:12" ht="15.75" customHeight="1">
      <c r="L638" s="452"/>
    </row>
    <row r="639" spans="12:12" ht="15.75" customHeight="1">
      <c r="L639" s="452"/>
    </row>
    <row r="640" spans="12:12" ht="15.75" customHeight="1">
      <c r="L640" s="452"/>
    </row>
    <row r="641" spans="12:12" ht="15.75" customHeight="1">
      <c r="L641" s="452"/>
    </row>
    <row r="642" spans="12:12" ht="15.75" customHeight="1">
      <c r="L642" s="452"/>
    </row>
    <row r="643" spans="12:12" ht="15.75" customHeight="1">
      <c r="L643" s="452"/>
    </row>
    <row r="644" spans="12:12" ht="15.75" customHeight="1">
      <c r="L644" s="452"/>
    </row>
    <row r="645" spans="12:12" ht="15.75" customHeight="1">
      <c r="L645" s="452"/>
    </row>
    <row r="646" spans="12:12" ht="15.75" customHeight="1">
      <c r="L646" s="452"/>
    </row>
    <row r="647" spans="12:12" ht="15.75" customHeight="1">
      <c r="L647" s="452"/>
    </row>
    <row r="648" spans="12:12" ht="15.75" customHeight="1">
      <c r="L648" s="452"/>
    </row>
    <row r="649" spans="12:12" ht="15.75" customHeight="1">
      <c r="L649" s="452"/>
    </row>
    <row r="650" spans="12:12" ht="15.75" customHeight="1">
      <c r="L650" s="452"/>
    </row>
    <row r="651" spans="12:12" ht="15.75" customHeight="1">
      <c r="L651" s="452"/>
    </row>
    <row r="652" spans="12:12" ht="15.75" customHeight="1">
      <c r="L652" s="452"/>
    </row>
    <row r="653" spans="12:12" ht="15.75" customHeight="1">
      <c r="L653" s="452"/>
    </row>
    <row r="654" spans="12:12" ht="15.75" customHeight="1">
      <c r="L654" s="452"/>
    </row>
    <row r="655" spans="12:12" ht="15.75" customHeight="1">
      <c r="L655" s="452"/>
    </row>
    <row r="656" spans="12:12" ht="15.75" customHeight="1">
      <c r="L656" s="452"/>
    </row>
    <row r="657" spans="12:12" ht="15.75" customHeight="1">
      <c r="L657" s="452"/>
    </row>
    <row r="658" spans="12:12" ht="15.75" customHeight="1">
      <c r="L658" s="452"/>
    </row>
    <row r="659" spans="12:12" ht="15.75" customHeight="1">
      <c r="L659" s="452"/>
    </row>
    <row r="660" spans="12:12" ht="15.75" customHeight="1">
      <c r="L660" s="452"/>
    </row>
    <row r="661" spans="12:12" ht="15.75" customHeight="1">
      <c r="L661" s="452"/>
    </row>
    <row r="662" spans="12:12" ht="15.75" customHeight="1">
      <c r="L662" s="452"/>
    </row>
    <row r="663" spans="12:12" ht="15.75" customHeight="1">
      <c r="L663" s="452"/>
    </row>
    <row r="664" spans="12:12" ht="15.75" customHeight="1">
      <c r="L664" s="452"/>
    </row>
    <row r="665" spans="12:12" ht="15.75" customHeight="1">
      <c r="L665" s="452"/>
    </row>
    <row r="666" spans="12:12" ht="15.75" customHeight="1">
      <c r="L666" s="452"/>
    </row>
    <row r="667" spans="12:12" ht="15.75" customHeight="1">
      <c r="L667" s="452"/>
    </row>
    <row r="668" spans="12:12" ht="15.75" customHeight="1">
      <c r="L668" s="452"/>
    </row>
    <row r="669" spans="12:12" ht="15.75" customHeight="1">
      <c r="L669" s="452"/>
    </row>
    <row r="670" spans="12:12" ht="15.75" customHeight="1">
      <c r="L670" s="452"/>
    </row>
    <row r="671" spans="12:12" ht="15.75" customHeight="1">
      <c r="L671" s="452"/>
    </row>
    <row r="672" spans="12:12" ht="15.75" customHeight="1">
      <c r="L672" s="452"/>
    </row>
    <row r="673" spans="12:12" ht="15.75" customHeight="1">
      <c r="L673" s="452"/>
    </row>
    <row r="674" spans="12:12" ht="15.75" customHeight="1">
      <c r="L674" s="452"/>
    </row>
    <row r="675" spans="12:12" ht="15.75" customHeight="1">
      <c r="L675" s="452"/>
    </row>
    <row r="676" spans="12:12" ht="15.75" customHeight="1">
      <c r="L676" s="452"/>
    </row>
    <row r="677" spans="12:12" ht="15.75" customHeight="1">
      <c r="L677" s="452"/>
    </row>
    <row r="678" spans="12:12" ht="15.75" customHeight="1">
      <c r="L678" s="452"/>
    </row>
    <row r="679" spans="12:12" ht="15.75" customHeight="1">
      <c r="L679" s="452"/>
    </row>
    <row r="680" spans="12:12" ht="15.75" customHeight="1">
      <c r="L680" s="452"/>
    </row>
    <row r="681" spans="12:12" ht="15.75" customHeight="1">
      <c r="L681" s="452"/>
    </row>
    <row r="682" spans="12:12" ht="15.75" customHeight="1">
      <c r="L682" s="452"/>
    </row>
    <row r="683" spans="12:12" ht="15.75" customHeight="1">
      <c r="L683" s="452"/>
    </row>
    <row r="684" spans="12:12" ht="15.75" customHeight="1">
      <c r="L684" s="452"/>
    </row>
    <row r="685" spans="12:12" ht="15.75" customHeight="1">
      <c r="L685" s="452"/>
    </row>
    <row r="686" spans="12:12" ht="15.75" customHeight="1">
      <c r="L686" s="452"/>
    </row>
    <row r="687" spans="12:12" ht="15.75" customHeight="1">
      <c r="L687" s="452"/>
    </row>
    <row r="688" spans="12:12" ht="15.75" customHeight="1">
      <c r="L688" s="452"/>
    </row>
    <row r="689" spans="12:12" ht="15.75" customHeight="1">
      <c r="L689" s="452"/>
    </row>
    <row r="690" spans="12:12" ht="15.75" customHeight="1">
      <c r="L690" s="452"/>
    </row>
    <row r="691" spans="12:12" ht="15.75" customHeight="1">
      <c r="L691" s="452"/>
    </row>
    <row r="692" spans="12:12" ht="15.75" customHeight="1">
      <c r="L692" s="452"/>
    </row>
    <row r="693" spans="12:12" ht="15.75" customHeight="1">
      <c r="L693" s="452"/>
    </row>
    <row r="694" spans="12:12" ht="15.75" customHeight="1">
      <c r="L694" s="452"/>
    </row>
    <row r="695" spans="12:12" ht="15.75" customHeight="1">
      <c r="L695" s="452"/>
    </row>
    <row r="696" spans="12:12" ht="15.75" customHeight="1">
      <c r="L696" s="452"/>
    </row>
    <row r="697" spans="12:12" ht="15.75" customHeight="1">
      <c r="L697" s="452"/>
    </row>
    <row r="698" spans="12:12" ht="15.75" customHeight="1">
      <c r="L698" s="452"/>
    </row>
    <row r="699" spans="12:12" ht="15.75" customHeight="1">
      <c r="L699" s="452"/>
    </row>
    <row r="700" spans="12:12" ht="15.75" customHeight="1">
      <c r="L700" s="452"/>
    </row>
    <row r="701" spans="12:12" ht="15.75" customHeight="1">
      <c r="L701" s="452"/>
    </row>
    <row r="702" spans="12:12" ht="15.75" customHeight="1">
      <c r="L702" s="452"/>
    </row>
    <row r="703" spans="12:12" ht="15.75" customHeight="1">
      <c r="L703" s="452"/>
    </row>
    <row r="704" spans="12:12" ht="15.75" customHeight="1">
      <c r="L704" s="452"/>
    </row>
    <row r="705" spans="12:12" ht="15.75" customHeight="1">
      <c r="L705" s="452"/>
    </row>
    <row r="706" spans="12:12" ht="15.75" customHeight="1">
      <c r="L706" s="452"/>
    </row>
    <row r="707" spans="12:12" ht="15.75" customHeight="1">
      <c r="L707" s="452"/>
    </row>
    <row r="708" spans="12:12" ht="15.75" customHeight="1">
      <c r="L708" s="452"/>
    </row>
    <row r="709" spans="12:12" ht="15.75" customHeight="1">
      <c r="L709" s="452"/>
    </row>
    <row r="710" spans="12:12" ht="15.75" customHeight="1">
      <c r="L710" s="452"/>
    </row>
    <row r="711" spans="12:12" ht="15.75" customHeight="1">
      <c r="L711" s="452"/>
    </row>
    <row r="712" spans="12:12" ht="15.75" customHeight="1">
      <c r="L712" s="452"/>
    </row>
    <row r="713" spans="12:12" ht="15.75" customHeight="1">
      <c r="L713" s="452"/>
    </row>
    <row r="714" spans="12:12" ht="15.75" customHeight="1">
      <c r="L714" s="452"/>
    </row>
    <row r="715" spans="12:12" ht="15.75" customHeight="1">
      <c r="L715" s="452"/>
    </row>
    <row r="716" spans="12:12" ht="15.75" customHeight="1">
      <c r="L716" s="452"/>
    </row>
    <row r="717" spans="12:12" ht="15.75" customHeight="1">
      <c r="L717" s="452"/>
    </row>
    <row r="718" spans="12:12" ht="15.75" customHeight="1">
      <c r="L718" s="452"/>
    </row>
    <row r="719" spans="12:12" ht="15.75" customHeight="1">
      <c r="L719" s="452"/>
    </row>
    <row r="720" spans="12:12" ht="15.75" customHeight="1">
      <c r="L720" s="452"/>
    </row>
    <row r="721" spans="12:12" ht="15.75" customHeight="1">
      <c r="L721" s="452"/>
    </row>
    <row r="722" spans="12:12" ht="15.75" customHeight="1">
      <c r="L722" s="452"/>
    </row>
    <row r="723" spans="12:12" ht="15.75" customHeight="1">
      <c r="L723" s="452"/>
    </row>
    <row r="724" spans="12:12" ht="15.75" customHeight="1">
      <c r="L724" s="452"/>
    </row>
    <row r="725" spans="12:12" ht="15.75" customHeight="1">
      <c r="L725" s="452"/>
    </row>
    <row r="726" spans="12:12" ht="15.75" customHeight="1">
      <c r="L726" s="452"/>
    </row>
    <row r="727" spans="12:12" ht="15.75" customHeight="1">
      <c r="L727" s="452"/>
    </row>
    <row r="728" spans="12:12" ht="15.75" customHeight="1">
      <c r="L728" s="452"/>
    </row>
    <row r="729" spans="12:12" ht="15.75" customHeight="1">
      <c r="L729" s="452"/>
    </row>
    <row r="730" spans="12:12" ht="15.75" customHeight="1">
      <c r="L730" s="452"/>
    </row>
    <row r="731" spans="12:12" ht="15.75" customHeight="1">
      <c r="L731" s="452"/>
    </row>
    <row r="732" spans="12:12" ht="15.75" customHeight="1">
      <c r="L732" s="452"/>
    </row>
    <row r="733" spans="12:12" ht="15.75" customHeight="1">
      <c r="L733" s="452"/>
    </row>
    <row r="734" spans="12:12" ht="15.75" customHeight="1">
      <c r="L734" s="452"/>
    </row>
    <row r="735" spans="12:12" ht="15.75" customHeight="1">
      <c r="L735" s="452"/>
    </row>
    <row r="736" spans="12:12" ht="15.75" customHeight="1">
      <c r="L736" s="452"/>
    </row>
    <row r="737" spans="12:12" ht="15.75" customHeight="1">
      <c r="L737" s="452"/>
    </row>
    <row r="738" spans="12:12" ht="15.75" customHeight="1">
      <c r="L738" s="452"/>
    </row>
    <row r="739" spans="12:12" ht="15.75" customHeight="1">
      <c r="L739" s="452"/>
    </row>
    <row r="740" spans="12:12" ht="15.75" customHeight="1">
      <c r="L740" s="452"/>
    </row>
    <row r="741" spans="12:12" ht="15.75" customHeight="1">
      <c r="L741" s="452"/>
    </row>
    <row r="742" spans="12:12" ht="15.75" customHeight="1">
      <c r="L742" s="452"/>
    </row>
    <row r="743" spans="12:12" ht="15.75" customHeight="1">
      <c r="L743" s="452"/>
    </row>
    <row r="744" spans="12:12" ht="15.75" customHeight="1">
      <c r="L744" s="452"/>
    </row>
    <row r="745" spans="12:12" ht="15.75" customHeight="1">
      <c r="L745" s="452"/>
    </row>
    <row r="746" spans="12:12" ht="15.75" customHeight="1">
      <c r="L746" s="452"/>
    </row>
    <row r="747" spans="12:12" ht="15.75" customHeight="1">
      <c r="L747" s="452"/>
    </row>
    <row r="748" spans="12:12" ht="15.75" customHeight="1">
      <c r="L748" s="452"/>
    </row>
    <row r="749" spans="12:12" ht="15.75" customHeight="1">
      <c r="L749" s="452"/>
    </row>
    <row r="750" spans="12:12" ht="15.75" customHeight="1">
      <c r="L750" s="452"/>
    </row>
    <row r="751" spans="12:12" ht="15.75" customHeight="1">
      <c r="L751" s="452"/>
    </row>
    <row r="752" spans="12:12" ht="15.75" customHeight="1">
      <c r="L752" s="452"/>
    </row>
    <row r="753" spans="12:12" ht="15.75" customHeight="1">
      <c r="L753" s="452"/>
    </row>
    <row r="754" spans="12:12" ht="15.75" customHeight="1">
      <c r="L754" s="452"/>
    </row>
    <row r="755" spans="12:12" ht="15.75" customHeight="1">
      <c r="L755" s="452"/>
    </row>
    <row r="756" spans="12:12" ht="15.75" customHeight="1">
      <c r="L756" s="452"/>
    </row>
    <row r="757" spans="12:12" ht="15.75" customHeight="1">
      <c r="L757" s="452"/>
    </row>
    <row r="758" spans="12:12" ht="15.75" customHeight="1">
      <c r="L758" s="452"/>
    </row>
    <row r="759" spans="12:12" ht="15.75" customHeight="1">
      <c r="L759" s="452"/>
    </row>
    <row r="760" spans="12:12" ht="15.75" customHeight="1">
      <c r="L760" s="452"/>
    </row>
    <row r="761" spans="12:12" ht="15.75" customHeight="1">
      <c r="L761" s="452"/>
    </row>
    <row r="762" spans="12:12" ht="15.75" customHeight="1">
      <c r="L762" s="452"/>
    </row>
    <row r="763" spans="12:12" ht="15.75" customHeight="1">
      <c r="L763" s="452"/>
    </row>
    <row r="764" spans="12:12" ht="15.75" customHeight="1">
      <c r="L764" s="452"/>
    </row>
    <row r="765" spans="12:12" ht="15.75" customHeight="1">
      <c r="L765" s="452"/>
    </row>
    <row r="766" spans="12:12" ht="15.75" customHeight="1">
      <c r="L766" s="452"/>
    </row>
    <row r="767" spans="12:12" ht="15.75" customHeight="1">
      <c r="L767" s="452"/>
    </row>
    <row r="768" spans="12:12" ht="15.75" customHeight="1">
      <c r="L768" s="452"/>
    </row>
    <row r="769" spans="12:12" ht="15.75" customHeight="1">
      <c r="L769" s="452"/>
    </row>
    <row r="770" spans="12:12" ht="15.75" customHeight="1">
      <c r="L770" s="452"/>
    </row>
    <row r="771" spans="12:12" ht="15.75" customHeight="1">
      <c r="L771" s="452"/>
    </row>
    <row r="772" spans="12:12" ht="15.75" customHeight="1">
      <c r="L772" s="452"/>
    </row>
    <row r="773" spans="12:12" ht="15.75" customHeight="1">
      <c r="L773" s="452"/>
    </row>
    <row r="774" spans="12:12" ht="15.75" customHeight="1">
      <c r="L774" s="452"/>
    </row>
    <row r="775" spans="12:12" ht="15.75" customHeight="1">
      <c r="L775" s="452"/>
    </row>
    <row r="776" spans="12:12" ht="15.75" customHeight="1">
      <c r="L776" s="452"/>
    </row>
    <row r="777" spans="12:12" ht="15.75" customHeight="1">
      <c r="L777" s="452"/>
    </row>
    <row r="778" spans="12:12" ht="15.75" customHeight="1">
      <c r="L778" s="452"/>
    </row>
    <row r="779" spans="12:12" ht="15.75" customHeight="1">
      <c r="L779" s="452"/>
    </row>
    <row r="780" spans="12:12" ht="15.75" customHeight="1">
      <c r="L780" s="452"/>
    </row>
    <row r="781" spans="12:12" ht="15.75" customHeight="1">
      <c r="L781" s="452"/>
    </row>
    <row r="782" spans="12:12" ht="15.75" customHeight="1">
      <c r="L782" s="452"/>
    </row>
    <row r="783" spans="12:12" ht="15.75" customHeight="1">
      <c r="L783" s="452"/>
    </row>
    <row r="784" spans="12:12" ht="15.75" customHeight="1">
      <c r="L784" s="452"/>
    </row>
    <row r="785" spans="12:12" ht="15.75" customHeight="1">
      <c r="L785" s="452"/>
    </row>
    <row r="786" spans="12:12" ht="15.75" customHeight="1">
      <c r="L786" s="452"/>
    </row>
    <row r="787" spans="12:12" ht="15.75" customHeight="1">
      <c r="L787" s="452"/>
    </row>
    <row r="788" spans="12:12" ht="15.75" customHeight="1">
      <c r="L788" s="452"/>
    </row>
    <row r="789" spans="12:12" ht="15.75" customHeight="1">
      <c r="L789" s="452"/>
    </row>
    <row r="790" spans="12:12" ht="15.75" customHeight="1">
      <c r="L790" s="452"/>
    </row>
    <row r="791" spans="12:12" ht="15.75" customHeight="1">
      <c r="L791" s="452"/>
    </row>
    <row r="792" spans="12:12" ht="15.75" customHeight="1">
      <c r="L792" s="452"/>
    </row>
    <row r="793" spans="12:12" ht="15.75" customHeight="1">
      <c r="L793" s="452"/>
    </row>
    <row r="794" spans="12:12" ht="15.75" customHeight="1">
      <c r="L794" s="452"/>
    </row>
    <row r="795" spans="12:12" ht="15.75" customHeight="1">
      <c r="L795" s="452"/>
    </row>
    <row r="796" spans="12:12" ht="15.75" customHeight="1">
      <c r="L796" s="452"/>
    </row>
    <row r="797" spans="12:12" ht="15.75" customHeight="1">
      <c r="L797" s="452"/>
    </row>
    <row r="798" spans="12:12" ht="15.75" customHeight="1">
      <c r="L798" s="452"/>
    </row>
    <row r="799" spans="12:12" ht="15.75" customHeight="1">
      <c r="L799" s="452"/>
    </row>
    <row r="800" spans="12:12" ht="15.75" customHeight="1">
      <c r="L800" s="452"/>
    </row>
    <row r="801" spans="12:12" ht="15.75" customHeight="1">
      <c r="L801" s="452"/>
    </row>
    <row r="802" spans="12:12" ht="15.75" customHeight="1">
      <c r="L802" s="452"/>
    </row>
    <row r="803" spans="12:12" ht="15.75" customHeight="1">
      <c r="L803" s="452"/>
    </row>
    <row r="804" spans="12:12" ht="15.75" customHeight="1">
      <c r="L804" s="452"/>
    </row>
    <row r="805" spans="12:12" ht="15.75" customHeight="1">
      <c r="L805" s="452"/>
    </row>
    <row r="806" spans="12:12" ht="15.75" customHeight="1">
      <c r="L806" s="452"/>
    </row>
    <row r="807" spans="12:12" ht="15.75" customHeight="1">
      <c r="L807" s="452"/>
    </row>
    <row r="808" spans="12:12" ht="15.75" customHeight="1">
      <c r="L808" s="452"/>
    </row>
    <row r="809" spans="12:12" ht="15.75" customHeight="1">
      <c r="L809" s="452"/>
    </row>
    <row r="810" spans="12:12" ht="15.75" customHeight="1">
      <c r="L810" s="452"/>
    </row>
    <row r="811" spans="12:12" ht="15.75" customHeight="1">
      <c r="L811" s="452"/>
    </row>
    <row r="812" spans="12:12" ht="15.75" customHeight="1">
      <c r="L812" s="452"/>
    </row>
    <row r="813" spans="12:12" ht="15.75" customHeight="1">
      <c r="L813" s="452"/>
    </row>
    <row r="814" spans="12:12" ht="15.75" customHeight="1">
      <c r="L814" s="452"/>
    </row>
    <row r="815" spans="12:12" ht="15.75" customHeight="1">
      <c r="L815" s="452"/>
    </row>
    <row r="816" spans="12:12" ht="15.75" customHeight="1">
      <c r="L816" s="452"/>
    </row>
    <row r="817" spans="12:12" ht="15.75" customHeight="1">
      <c r="L817" s="452"/>
    </row>
    <row r="818" spans="12:12" ht="15.75" customHeight="1">
      <c r="L818" s="452"/>
    </row>
    <row r="819" spans="12:12" ht="15.75" customHeight="1">
      <c r="L819" s="452"/>
    </row>
    <row r="820" spans="12:12" ht="15.75" customHeight="1">
      <c r="L820" s="452"/>
    </row>
    <row r="821" spans="12:12" ht="15.75" customHeight="1">
      <c r="L821" s="452"/>
    </row>
    <row r="822" spans="12:12" ht="15.75" customHeight="1">
      <c r="L822" s="452"/>
    </row>
    <row r="823" spans="12:12" ht="15.75" customHeight="1">
      <c r="L823" s="452"/>
    </row>
    <row r="824" spans="12:12" ht="15.75" customHeight="1">
      <c r="L824" s="452"/>
    </row>
    <row r="825" spans="12:12" ht="15.75" customHeight="1">
      <c r="L825" s="452"/>
    </row>
    <row r="826" spans="12:12" ht="15.75" customHeight="1">
      <c r="L826" s="452"/>
    </row>
    <row r="827" spans="12:12" ht="15.75" customHeight="1">
      <c r="L827" s="452"/>
    </row>
    <row r="828" spans="12:12" ht="15.75" customHeight="1">
      <c r="L828" s="452"/>
    </row>
    <row r="829" spans="12:12" ht="15.75" customHeight="1">
      <c r="L829" s="452"/>
    </row>
    <row r="830" spans="12:12" ht="15.75" customHeight="1">
      <c r="L830" s="452"/>
    </row>
    <row r="831" spans="12:12" ht="15.75" customHeight="1">
      <c r="L831" s="452"/>
    </row>
    <row r="832" spans="12:12" ht="15.75" customHeight="1">
      <c r="L832" s="452"/>
    </row>
    <row r="833" spans="12:12" ht="15.75" customHeight="1">
      <c r="L833" s="452"/>
    </row>
    <row r="834" spans="12:12" ht="15.75" customHeight="1">
      <c r="L834" s="452"/>
    </row>
    <row r="835" spans="12:12" ht="15.75" customHeight="1">
      <c r="L835" s="452"/>
    </row>
    <row r="836" spans="12:12" ht="15.75" customHeight="1">
      <c r="L836" s="452"/>
    </row>
    <row r="837" spans="12:12" ht="15.75" customHeight="1">
      <c r="L837" s="452"/>
    </row>
    <row r="838" spans="12:12" ht="15.75" customHeight="1">
      <c r="L838" s="452"/>
    </row>
    <row r="839" spans="12:12" ht="15.75" customHeight="1">
      <c r="L839" s="452"/>
    </row>
    <row r="840" spans="12:12" ht="15.75" customHeight="1">
      <c r="L840" s="452"/>
    </row>
    <row r="841" spans="12:12" ht="15.75" customHeight="1">
      <c r="L841" s="452"/>
    </row>
    <row r="842" spans="12:12" ht="15.75" customHeight="1">
      <c r="L842" s="452"/>
    </row>
    <row r="843" spans="12:12" ht="15.75" customHeight="1">
      <c r="L843" s="452"/>
    </row>
    <row r="844" spans="12:12" ht="15.75" customHeight="1">
      <c r="L844" s="452"/>
    </row>
    <row r="845" spans="12:12" ht="15.75" customHeight="1">
      <c r="L845" s="452"/>
    </row>
    <row r="846" spans="12:12" ht="15.75" customHeight="1">
      <c r="L846" s="452"/>
    </row>
    <row r="847" spans="12:12" ht="15.75" customHeight="1">
      <c r="L847" s="452"/>
    </row>
    <row r="848" spans="12:12" ht="15.75" customHeight="1">
      <c r="L848" s="452"/>
    </row>
    <row r="849" spans="12:12" ht="15.75" customHeight="1">
      <c r="L849" s="452"/>
    </row>
    <row r="850" spans="12:12" ht="15.75" customHeight="1">
      <c r="L850" s="452"/>
    </row>
    <row r="851" spans="12:12" ht="15.75" customHeight="1">
      <c r="L851" s="452"/>
    </row>
    <row r="852" spans="12:12" ht="15.75" customHeight="1">
      <c r="L852" s="452"/>
    </row>
    <row r="853" spans="12:12" ht="15.75" customHeight="1">
      <c r="L853" s="452"/>
    </row>
    <row r="854" spans="12:12" ht="15.75" customHeight="1">
      <c r="L854" s="452"/>
    </row>
    <row r="855" spans="12:12" ht="15.75" customHeight="1">
      <c r="L855" s="452"/>
    </row>
    <row r="856" spans="12:12" ht="15.75" customHeight="1">
      <c r="L856" s="452"/>
    </row>
    <row r="857" spans="12:12" ht="15.75" customHeight="1">
      <c r="L857" s="452"/>
    </row>
    <row r="858" spans="12:12" ht="15.75" customHeight="1">
      <c r="L858" s="452"/>
    </row>
    <row r="859" spans="12:12" ht="15.75" customHeight="1">
      <c r="L859" s="452"/>
    </row>
    <row r="860" spans="12:12" ht="15.75" customHeight="1">
      <c r="L860" s="452"/>
    </row>
    <row r="861" spans="12:12" ht="15.75" customHeight="1">
      <c r="L861" s="452"/>
    </row>
    <row r="862" spans="12:12" ht="15.75" customHeight="1">
      <c r="L862" s="452"/>
    </row>
    <row r="863" spans="12:12" ht="15.75" customHeight="1">
      <c r="L863" s="452"/>
    </row>
    <row r="864" spans="12:12" ht="15.75" customHeight="1">
      <c r="L864" s="452"/>
    </row>
    <row r="865" spans="12:12" ht="15.75" customHeight="1">
      <c r="L865" s="452"/>
    </row>
    <row r="866" spans="12:12" ht="15.75" customHeight="1">
      <c r="L866" s="452"/>
    </row>
    <row r="867" spans="12:12" ht="15.75" customHeight="1">
      <c r="L867" s="452"/>
    </row>
    <row r="868" spans="12:12" ht="15.75" customHeight="1">
      <c r="L868" s="452"/>
    </row>
    <row r="869" spans="12:12" ht="15.75" customHeight="1">
      <c r="L869" s="452"/>
    </row>
    <row r="870" spans="12:12" ht="15.75" customHeight="1">
      <c r="L870" s="452"/>
    </row>
    <row r="871" spans="12:12" ht="15.75" customHeight="1">
      <c r="L871" s="452"/>
    </row>
    <row r="872" spans="12:12" ht="15.75" customHeight="1">
      <c r="L872" s="452"/>
    </row>
    <row r="873" spans="12:12" ht="15.75" customHeight="1">
      <c r="L873" s="452"/>
    </row>
    <row r="874" spans="12:12" ht="15.75" customHeight="1">
      <c r="L874" s="452"/>
    </row>
    <row r="875" spans="12:12" ht="15.75" customHeight="1">
      <c r="L875" s="452"/>
    </row>
    <row r="876" spans="12:12" ht="15.75" customHeight="1">
      <c r="L876" s="452"/>
    </row>
    <row r="877" spans="12:12" ht="15.75" customHeight="1">
      <c r="L877" s="452"/>
    </row>
    <row r="878" spans="12:12" ht="15.75" customHeight="1">
      <c r="L878" s="452"/>
    </row>
    <row r="879" spans="12:12" ht="15.75" customHeight="1">
      <c r="L879" s="452"/>
    </row>
    <row r="880" spans="12:12" ht="15.75" customHeight="1">
      <c r="L880" s="452"/>
    </row>
    <row r="881" spans="12:12" ht="15.75" customHeight="1">
      <c r="L881" s="452"/>
    </row>
    <row r="882" spans="12:12" ht="15.75" customHeight="1">
      <c r="L882" s="452"/>
    </row>
    <row r="883" spans="12:12" ht="15.75" customHeight="1">
      <c r="L883" s="452"/>
    </row>
    <row r="884" spans="12:12" ht="15.75" customHeight="1">
      <c r="L884" s="452"/>
    </row>
    <row r="885" spans="12:12" ht="15.75" customHeight="1">
      <c r="L885" s="452"/>
    </row>
    <row r="886" spans="12:12" ht="15.75" customHeight="1">
      <c r="L886" s="452"/>
    </row>
    <row r="887" spans="12:12" ht="15.75" customHeight="1">
      <c r="L887" s="452"/>
    </row>
    <row r="888" spans="12:12" ht="15.75" customHeight="1">
      <c r="L888" s="452"/>
    </row>
    <row r="889" spans="12:12" ht="15.75" customHeight="1">
      <c r="L889" s="452"/>
    </row>
    <row r="890" spans="12:12" ht="15.75" customHeight="1">
      <c r="L890" s="452"/>
    </row>
    <row r="891" spans="12:12" ht="15.75" customHeight="1">
      <c r="L891" s="452"/>
    </row>
    <row r="892" spans="12:12" ht="15.75" customHeight="1">
      <c r="L892" s="452"/>
    </row>
    <row r="893" spans="12:12" ht="15.75" customHeight="1">
      <c r="L893" s="452"/>
    </row>
    <row r="894" spans="12:12" ht="15.75" customHeight="1">
      <c r="L894" s="452"/>
    </row>
    <row r="895" spans="12:12" ht="15.75" customHeight="1">
      <c r="L895" s="452"/>
    </row>
    <row r="896" spans="12:12" ht="15.75" customHeight="1">
      <c r="L896" s="452"/>
    </row>
    <row r="897" spans="12:12" ht="15.75" customHeight="1">
      <c r="L897" s="452"/>
    </row>
    <row r="898" spans="12:12" ht="15.75" customHeight="1">
      <c r="L898" s="452"/>
    </row>
    <row r="899" spans="12:12" ht="15.75" customHeight="1">
      <c r="L899" s="452"/>
    </row>
    <row r="900" spans="12:12" ht="15.75" customHeight="1">
      <c r="L900" s="452"/>
    </row>
    <row r="901" spans="12:12" ht="15.75" customHeight="1">
      <c r="L901" s="452"/>
    </row>
    <row r="902" spans="12:12" ht="15.75" customHeight="1">
      <c r="L902" s="452"/>
    </row>
    <row r="903" spans="12:12" ht="15.75" customHeight="1">
      <c r="L903" s="452"/>
    </row>
    <row r="904" spans="12:12" ht="15.75" customHeight="1">
      <c r="L904" s="452"/>
    </row>
    <row r="905" spans="12:12" ht="15.75" customHeight="1">
      <c r="L905" s="452"/>
    </row>
    <row r="906" spans="12:12" ht="15.75" customHeight="1">
      <c r="L906" s="452"/>
    </row>
    <row r="907" spans="12:12" ht="15.75" customHeight="1">
      <c r="L907" s="452"/>
    </row>
    <row r="908" spans="12:12" ht="15.75" customHeight="1">
      <c r="L908" s="452"/>
    </row>
    <row r="909" spans="12:12" ht="15.75" customHeight="1">
      <c r="L909" s="452"/>
    </row>
    <row r="910" spans="12:12" ht="15.75" customHeight="1">
      <c r="L910" s="452"/>
    </row>
    <row r="911" spans="12:12" ht="15.75" customHeight="1">
      <c r="L911" s="452"/>
    </row>
    <row r="912" spans="12:12" ht="15.75" customHeight="1">
      <c r="L912" s="452"/>
    </row>
    <row r="913" spans="12:12" ht="15.75" customHeight="1">
      <c r="L913" s="452"/>
    </row>
    <row r="914" spans="12:12" ht="15.75" customHeight="1">
      <c r="L914" s="452"/>
    </row>
    <row r="915" spans="12:12" ht="15.75" customHeight="1">
      <c r="L915" s="452"/>
    </row>
    <row r="916" spans="12:12" ht="15.75" customHeight="1">
      <c r="L916" s="452"/>
    </row>
    <row r="917" spans="12:12" ht="15.75" customHeight="1">
      <c r="L917" s="452"/>
    </row>
    <row r="918" spans="12:12" ht="15.75" customHeight="1">
      <c r="L918" s="452"/>
    </row>
    <row r="919" spans="12:12" ht="15.75" customHeight="1">
      <c r="L919" s="452"/>
    </row>
    <row r="920" spans="12:12" ht="15.75" customHeight="1">
      <c r="L920" s="452"/>
    </row>
    <row r="921" spans="12:12" ht="15.75" customHeight="1">
      <c r="L921" s="452"/>
    </row>
    <row r="922" spans="12:12" ht="15.75" customHeight="1">
      <c r="L922" s="452"/>
    </row>
    <row r="923" spans="12:12" ht="15.75" customHeight="1">
      <c r="L923" s="452"/>
    </row>
    <row r="924" spans="12:12" ht="15.75" customHeight="1">
      <c r="L924" s="452"/>
    </row>
    <row r="925" spans="12:12" ht="15.75" customHeight="1">
      <c r="L925" s="452"/>
    </row>
    <row r="926" spans="12:12" ht="15.75" customHeight="1">
      <c r="L926" s="452"/>
    </row>
    <row r="927" spans="12:12" ht="15.75" customHeight="1">
      <c r="L927" s="452"/>
    </row>
    <row r="928" spans="12:12" ht="15.75" customHeight="1">
      <c r="L928" s="452"/>
    </row>
    <row r="929" spans="12:12" ht="15.75" customHeight="1">
      <c r="L929" s="452"/>
    </row>
    <row r="930" spans="12:12" ht="15.75" customHeight="1">
      <c r="L930" s="452"/>
    </row>
    <row r="931" spans="12:12" ht="15.75" customHeight="1">
      <c r="L931" s="452"/>
    </row>
    <row r="932" spans="12:12" ht="15.75" customHeight="1">
      <c r="L932" s="452"/>
    </row>
    <row r="933" spans="12:12" ht="15.75" customHeight="1">
      <c r="L933" s="452"/>
    </row>
    <row r="934" spans="12:12" ht="15.75" customHeight="1">
      <c r="L934" s="452"/>
    </row>
    <row r="935" spans="12:12" ht="15.75" customHeight="1">
      <c r="L935" s="452"/>
    </row>
    <row r="936" spans="12:12" ht="15.75" customHeight="1">
      <c r="L936" s="452"/>
    </row>
    <row r="937" spans="12:12" ht="15.75" customHeight="1">
      <c r="L937" s="452"/>
    </row>
    <row r="938" spans="12:12" ht="15.75" customHeight="1">
      <c r="L938" s="452"/>
    </row>
    <row r="939" spans="12:12" ht="15.75" customHeight="1">
      <c r="L939" s="452"/>
    </row>
    <row r="940" spans="12:12" ht="15.75" customHeight="1">
      <c r="L940" s="452"/>
    </row>
    <row r="941" spans="12:12" ht="15.75" customHeight="1">
      <c r="L941" s="452"/>
    </row>
    <row r="942" spans="12:12" ht="15.75" customHeight="1">
      <c r="L942" s="452"/>
    </row>
    <row r="943" spans="12:12" ht="15.75" customHeight="1">
      <c r="L943" s="452"/>
    </row>
    <row r="944" spans="12:12" ht="15.75" customHeight="1">
      <c r="L944" s="452"/>
    </row>
    <row r="945" spans="12:12" ht="15.75" customHeight="1">
      <c r="L945" s="452"/>
    </row>
    <row r="946" spans="12:12" ht="15.75" customHeight="1">
      <c r="L946" s="452"/>
    </row>
    <row r="947" spans="12:12" ht="15.75" customHeight="1">
      <c r="L947" s="452"/>
    </row>
    <row r="948" spans="12:12" ht="15.75" customHeight="1">
      <c r="L948" s="452"/>
    </row>
    <row r="949" spans="12:12" ht="15.75" customHeight="1">
      <c r="L949" s="452"/>
    </row>
    <row r="950" spans="12:12" ht="15.75" customHeight="1">
      <c r="L950" s="452"/>
    </row>
    <row r="951" spans="12:12" ht="15.75" customHeight="1">
      <c r="L951" s="452"/>
    </row>
    <row r="952" spans="12:12" ht="15.75" customHeight="1">
      <c r="L952" s="452"/>
    </row>
    <row r="953" spans="12:12" ht="15.75" customHeight="1">
      <c r="L953" s="452"/>
    </row>
    <row r="954" spans="12:12" ht="15.75" customHeight="1">
      <c r="L954" s="452"/>
    </row>
    <row r="955" spans="12:12" ht="15.75" customHeight="1">
      <c r="L955" s="452"/>
    </row>
    <row r="956" spans="12:12" ht="15.75" customHeight="1">
      <c r="L956" s="452"/>
    </row>
    <row r="957" spans="12:12" ht="15.75" customHeight="1">
      <c r="L957" s="452"/>
    </row>
    <row r="958" spans="12:12" ht="15.75" customHeight="1">
      <c r="L958" s="452"/>
    </row>
    <row r="959" spans="12:12" ht="15.75" customHeight="1">
      <c r="L959" s="452"/>
    </row>
    <row r="960" spans="12:12" ht="15.75" customHeight="1">
      <c r="L960" s="452"/>
    </row>
    <row r="961" spans="12:12" ht="15.75" customHeight="1">
      <c r="L961" s="452"/>
    </row>
    <row r="962" spans="12:12" ht="15.75" customHeight="1">
      <c r="L962" s="452"/>
    </row>
    <row r="963" spans="12:12" ht="15.75" customHeight="1">
      <c r="L963" s="452"/>
    </row>
    <row r="964" spans="12:12" ht="15.75" customHeight="1">
      <c r="L964" s="452"/>
    </row>
    <row r="965" spans="12:12" ht="15.75" customHeight="1">
      <c r="L965" s="452"/>
    </row>
    <row r="966" spans="12:12" ht="15.75" customHeight="1">
      <c r="L966" s="452"/>
    </row>
    <row r="967" spans="12:12" ht="15.75" customHeight="1">
      <c r="L967" s="452"/>
    </row>
    <row r="968" spans="12:12" ht="15.75" customHeight="1">
      <c r="L968" s="452"/>
    </row>
    <row r="969" spans="12:12" ht="15.75" customHeight="1">
      <c r="L969" s="452"/>
    </row>
    <row r="970" spans="12:12" ht="15.75" customHeight="1">
      <c r="L970" s="452"/>
    </row>
    <row r="971" spans="12:12" ht="15.75" customHeight="1">
      <c r="L971" s="452"/>
    </row>
    <row r="972" spans="12:12" ht="15.75" customHeight="1">
      <c r="L972" s="452"/>
    </row>
    <row r="973" spans="12:12" ht="15.75" customHeight="1">
      <c r="L973" s="452"/>
    </row>
    <row r="974" spans="12:12" ht="15.75" customHeight="1">
      <c r="L974" s="452"/>
    </row>
    <row r="975" spans="12:12" ht="15.75" customHeight="1">
      <c r="L975" s="452"/>
    </row>
    <row r="976" spans="12:12" ht="15.75" customHeight="1">
      <c r="L976" s="452"/>
    </row>
    <row r="977" spans="12:12" ht="15.75" customHeight="1">
      <c r="L977" s="452"/>
    </row>
    <row r="978" spans="12:12" ht="15.75" customHeight="1">
      <c r="L978" s="452"/>
    </row>
    <row r="979" spans="12:12" ht="15.75" customHeight="1">
      <c r="L979" s="452"/>
    </row>
    <row r="980" spans="12:12" ht="15.75" customHeight="1">
      <c r="L980" s="452"/>
    </row>
    <row r="981" spans="12:12" ht="15.75" customHeight="1">
      <c r="L981" s="452"/>
    </row>
    <row r="982" spans="12:12" ht="15.75" customHeight="1">
      <c r="L982" s="452"/>
    </row>
    <row r="983" spans="12:12" ht="15.75" customHeight="1">
      <c r="L983" s="452"/>
    </row>
    <row r="984" spans="12:12" ht="15.75" customHeight="1">
      <c r="L984" s="452"/>
    </row>
    <row r="985" spans="12:12" ht="15.75" customHeight="1">
      <c r="L985" s="452"/>
    </row>
    <row r="986" spans="12:12" ht="15.75" customHeight="1">
      <c r="L986" s="452"/>
    </row>
    <row r="987" spans="12:12" ht="15.75" customHeight="1">
      <c r="L987" s="452"/>
    </row>
    <row r="988" spans="12:12" ht="15.75" customHeight="1">
      <c r="L988" s="452"/>
    </row>
    <row r="989" spans="12:12" ht="15.75" customHeight="1">
      <c r="L989" s="452"/>
    </row>
    <row r="990" spans="12:12" ht="15.75" customHeight="1">
      <c r="L990" s="452"/>
    </row>
    <row r="991" spans="12:12" ht="15.75" customHeight="1">
      <c r="L991" s="452"/>
    </row>
    <row r="992" spans="12:12" ht="15.75" customHeight="1">
      <c r="L992" s="452"/>
    </row>
    <row r="993" spans="12:12" ht="15.75" customHeight="1">
      <c r="L993" s="452"/>
    </row>
    <row r="994" spans="12:12" ht="15.75" customHeight="1">
      <c r="L994" s="452"/>
    </row>
    <row r="995" spans="12:12" ht="15.75" customHeight="1">
      <c r="L995" s="452"/>
    </row>
    <row r="996" spans="12:12" ht="15.75" customHeight="1">
      <c r="L996" s="452"/>
    </row>
    <row r="997" spans="12:12" ht="15.75" customHeight="1">
      <c r="L997" s="452"/>
    </row>
    <row r="998" spans="12:12" ht="15.75" customHeight="1">
      <c r="L998" s="452"/>
    </row>
    <row r="999" spans="12:12" ht="15.75" customHeight="1">
      <c r="L999" s="452"/>
    </row>
    <row r="1000" spans="12:12" ht="15.75" customHeight="1">
      <c r="L1000" s="452"/>
    </row>
    <row r="1001" spans="12:12" ht="15.75" customHeight="1">
      <c r="L1001" s="452"/>
    </row>
  </sheetData>
  <hyperlinks>
    <hyperlink ref="I11" r:id="rId1" location="gid=0" xr:uid="{00000000-0004-0000-0900-000000000000}"/>
    <hyperlink ref="I13" r:id="rId2" location="gid=0" xr:uid="{00000000-0004-0000-0900-000001000000}"/>
    <hyperlink ref="I19" r:id="rId3" xr:uid="{00000000-0004-0000-0900-000002000000}"/>
  </hyperlinks>
  <pageMargins left="0.7" right="0.7" top="0.75" bottom="0.75" header="0" footer="0"/>
  <pageSetup orientation="landscape"/>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X999"/>
  <sheetViews>
    <sheetView workbookViewId="0"/>
  </sheetViews>
  <sheetFormatPr defaultColWidth="12.5703125" defaultRowHeight="15" customHeight="1"/>
  <cols>
    <col min="1" max="1" width="5.7109375" customWidth="1"/>
    <col min="2" max="2" width="27.85546875" customWidth="1"/>
    <col min="3" max="3" width="13.5703125" customWidth="1"/>
    <col min="4" max="4" width="13.42578125" customWidth="1"/>
    <col min="5" max="5" width="14.42578125" customWidth="1"/>
    <col min="6" max="6" width="13.42578125" customWidth="1"/>
    <col min="7" max="7" width="14.42578125" customWidth="1"/>
    <col min="8" max="8" width="2" customWidth="1"/>
    <col min="9" max="9" width="53.42578125" customWidth="1"/>
    <col min="10" max="10" width="2.285156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140625" customWidth="1"/>
    <col min="24" max="24" width="11.42578125" customWidth="1"/>
  </cols>
  <sheetData>
    <row r="1" spans="1:24" ht="15.75" customHeight="1">
      <c r="A1" s="128" t="s">
        <v>122</v>
      </c>
      <c r="B1" s="129"/>
      <c r="C1" s="292"/>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417</v>
      </c>
      <c r="B2" s="129"/>
      <c r="C2" s="292"/>
      <c r="D2" s="129"/>
      <c r="E2" s="129"/>
      <c r="F2" s="129"/>
      <c r="G2" s="129"/>
      <c r="H2" s="129"/>
      <c r="I2" s="129"/>
      <c r="J2" s="129"/>
      <c r="K2" s="129"/>
      <c r="L2" s="130"/>
      <c r="M2" s="129"/>
      <c r="N2" s="129"/>
      <c r="O2" s="129"/>
      <c r="P2" s="129"/>
      <c r="Q2" s="129"/>
      <c r="R2" s="129"/>
      <c r="S2" s="129"/>
      <c r="T2" s="129"/>
      <c r="U2" s="129"/>
      <c r="V2" s="129"/>
      <c r="W2" s="129"/>
      <c r="X2" s="129"/>
    </row>
    <row r="3" spans="1:24" ht="15.75" customHeight="1">
      <c r="A3" s="293"/>
      <c r="B3" s="294"/>
      <c r="C3" s="292"/>
      <c r="D3" s="129"/>
      <c r="E3" s="129"/>
      <c r="F3" s="129"/>
      <c r="G3" s="129"/>
      <c r="H3" s="129"/>
      <c r="I3" s="129"/>
      <c r="J3" s="129"/>
      <c r="K3" s="129"/>
      <c r="L3" s="130"/>
      <c r="M3" s="129"/>
      <c r="N3" s="129"/>
      <c r="O3" s="129"/>
      <c r="P3" s="129"/>
      <c r="Q3" s="129"/>
      <c r="R3" s="135"/>
      <c r="S3" s="135"/>
      <c r="T3" s="129"/>
      <c r="U3" s="129"/>
      <c r="V3" s="129"/>
      <c r="W3" s="129"/>
      <c r="X3" s="129"/>
    </row>
    <row r="4" spans="1:24" ht="37.5" customHeight="1">
      <c r="A4" s="128" t="s">
        <v>126</v>
      </c>
      <c r="B4" s="129"/>
      <c r="C4" s="137" t="s">
        <v>127</v>
      </c>
      <c r="D4" s="140" t="s">
        <v>128</v>
      </c>
      <c r="E4" s="140" t="s">
        <v>129</v>
      </c>
      <c r="F4" s="140" t="s">
        <v>130</v>
      </c>
      <c r="G4" s="140" t="s">
        <v>131</v>
      </c>
      <c r="H4" s="298"/>
      <c r="I4" s="299" t="s">
        <v>298</v>
      </c>
      <c r="J4" s="298"/>
      <c r="K4" s="142">
        <v>45474</v>
      </c>
      <c r="L4" s="142">
        <v>45505</v>
      </c>
      <c r="M4" s="142">
        <v>45536</v>
      </c>
      <c r="N4" s="142">
        <v>45566</v>
      </c>
      <c r="O4" s="142">
        <v>45597</v>
      </c>
      <c r="P4" s="142">
        <v>45627</v>
      </c>
      <c r="Q4" s="142">
        <v>45658</v>
      </c>
      <c r="R4" s="142">
        <v>45689</v>
      </c>
      <c r="S4" s="142">
        <v>45717</v>
      </c>
      <c r="T4" s="142">
        <v>45748</v>
      </c>
      <c r="U4" s="142">
        <v>45778</v>
      </c>
      <c r="V4" s="142">
        <v>45809</v>
      </c>
      <c r="W4" s="395"/>
      <c r="X4" s="202" t="s">
        <v>132</v>
      </c>
    </row>
    <row r="5" spans="1:24" ht="15.75" customHeight="1">
      <c r="A5" s="128"/>
      <c r="B5" s="129"/>
      <c r="C5" s="292">
        <v>0</v>
      </c>
      <c r="D5" s="210"/>
      <c r="E5" s="210"/>
      <c r="F5" s="210"/>
      <c r="G5" s="210">
        <f t="shared" ref="G5:G6" si="0">F5-C5</f>
        <v>0</v>
      </c>
      <c r="H5" s="453"/>
      <c r="I5" s="210"/>
      <c r="J5" s="453"/>
      <c r="K5" s="214"/>
      <c r="L5" s="214"/>
      <c r="M5" s="214"/>
      <c r="N5" s="214"/>
      <c r="O5" s="214"/>
      <c r="P5" s="214"/>
      <c r="Q5" s="214"/>
      <c r="R5" s="214"/>
      <c r="S5" s="214"/>
      <c r="T5" s="214"/>
      <c r="U5" s="214"/>
      <c r="V5" s="214"/>
      <c r="W5" s="301"/>
      <c r="X5" s="214">
        <f>SUM(K5:V5)</f>
        <v>0</v>
      </c>
    </row>
    <row r="6" spans="1:24" ht="15.75" customHeight="1">
      <c r="A6" s="128" t="s">
        <v>153</v>
      </c>
      <c r="B6" s="128"/>
      <c r="C6" s="335">
        <f t="shared" ref="C6:D6" si="1">SUM(C5)</f>
        <v>0</v>
      </c>
      <c r="D6" s="336">
        <f t="shared" si="1"/>
        <v>0</v>
      </c>
      <c r="E6" s="336"/>
      <c r="F6" s="336">
        <f>SUM(F5)</f>
        <v>0</v>
      </c>
      <c r="G6" s="425">
        <f t="shared" si="0"/>
        <v>0</v>
      </c>
      <c r="H6" s="434"/>
      <c r="I6" s="336"/>
      <c r="J6" s="434"/>
      <c r="K6" s="339">
        <f t="shared" ref="K6:O6" si="2">SUM(K5)</f>
        <v>0</v>
      </c>
      <c r="L6" s="339">
        <f t="shared" si="2"/>
        <v>0</v>
      </c>
      <c r="M6" s="339">
        <f t="shared" si="2"/>
        <v>0</v>
      </c>
      <c r="N6" s="339">
        <f t="shared" si="2"/>
        <v>0</v>
      </c>
      <c r="O6" s="339">
        <f t="shared" si="2"/>
        <v>0</v>
      </c>
      <c r="P6" s="339"/>
      <c r="Q6" s="339">
        <f>SUM(Q5)</f>
        <v>0</v>
      </c>
      <c r="R6" s="339"/>
      <c r="S6" s="339">
        <f>SUM(S5)</f>
        <v>0</v>
      </c>
      <c r="T6" s="339"/>
      <c r="U6" s="339">
        <f>SUM(U5)</f>
        <v>0</v>
      </c>
      <c r="V6" s="339"/>
      <c r="W6" s="389"/>
      <c r="X6" s="339">
        <f>SUM(X5)</f>
        <v>0</v>
      </c>
    </row>
    <row r="7" spans="1:24" ht="15.75" customHeight="1">
      <c r="A7" s="128"/>
      <c r="B7" s="129"/>
      <c r="C7" s="292"/>
      <c r="D7" s="135"/>
      <c r="E7" s="135"/>
      <c r="F7" s="135"/>
      <c r="G7" s="135"/>
      <c r="H7" s="135"/>
      <c r="I7" s="135"/>
      <c r="J7" s="135"/>
      <c r="K7" s="135"/>
      <c r="L7" s="130"/>
      <c r="M7" s="135"/>
      <c r="N7" s="135"/>
      <c r="O7" s="135"/>
      <c r="P7" s="135"/>
      <c r="Q7" s="135"/>
      <c r="R7" s="135"/>
      <c r="S7" s="135"/>
      <c r="T7" s="135"/>
      <c r="U7" s="135"/>
      <c r="V7" s="135"/>
      <c r="W7" s="135"/>
      <c r="X7" s="135"/>
    </row>
    <row r="8" spans="1:24" ht="30.75" customHeight="1">
      <c r="A8" s="128" t="s">
        <v>154</v>
      </c>
      <c r="B8" s="129"/>
      <c r="C8" s="137"/>
      <c r="D8" s="140"/>
      <c r="E8" s="140"/>
      <c r="F8" s="140"/>
      <c r="G8" s="140"/>
      <c r="H8" s="295"/>
      <c r="I8" s="295"/>
      <c r="J8" s="295"/>
      <c r="K8" s="295"/>
      <c r="L8" s="454"/>
      <c r="M8" s="295"/>
      <c r="N8" s="295"/>
      <c r="O8" s="295"/>
      <c r="P8" s="295"/>
      <c r="Q8" s="295"/>
      <c r="R8" s="295"/>
      <c r="S8" s="295"/>
      <c r="T8" s="295"/>
      <c r="U8" s="295"/>
      <c r="V8" s="295"/>
      <c r="W8" s="295"/>
      <c r="X8" s="295"/>
    </row>
    <row r="9" spans="1:24" ht="24.75" customHeight="1">
      <c r="A9" s="128"/>
      <c r="B9" s="346" t="s">
        <v>360</v>
      </c>
      <c r="C9" s="347">
        <v>0</v>
      </c>
      <c r="D9" s="67">
        <v>1500</v>
      </c>
      <c r="E9" s="67"/>
      <c r="F9" s="67">
        <f>2000-2000</f>
        <v>0</v>
      </c>
      <c r="G9" s="67">
        <f t="shared" ref="G9:G15" si="3">F9-C9</f>
        <v>0</v>
      </c>
      <c r="H9" s="317"/>
      <c r="I9" s="357" t="s">
        <v>418</v>
      </c>
      <c r="J9" s="317"/>
      <c r="K9" s="348"/>
      <c r="L9" s="349"/>
      <c r="M9" s="349"/>
      <c r="N9" s="349"/>
      <c r="O9" s="349"/>
      <c r="P9" s="349">
        <v>0</v>
      </c>
      <c r="Q9" s="349"/>
      <c r="R9" s="349"/>
      <c r="S9" s="349"/>
      <c r="T9" s="349"/>
      <c r="U9" s="349">
        <v>0</v>
      </c>
      <c r="V9" s="349"/>
      <c r="W9" s="426"/>
      <c r="X9" s="349">
        <f t="shared" ref="X9:X14" si="4">SUM(K9:V9)</f>
        <v>0</v>
      </c>
    </row>
    <row r="10" spans="1:24" ht="15.75" customHeight="1">
      <c r="A10" s="128"/>
      <c r="B10" s="165" t="s">
        <v>361</v>
      </c>
      <c r="C10" s="155">
        <v>0</v>
      </c>
      <c r="D10" s="351">
        <v>2419.98</v>
      </c>
      <c r="E10" s="351"/>
      <c r="F10" s="351">
        <f>1500+3000</f>
        <v>4500</v>
      </c>
      <c r="G10" s="67">
        <f t="shared" si="3"/>
        <v>4500</v>
      </c>
      <c r="H10" s="455"/>
      <c r="I10" s="410" t="s">
        <v>419</v>
      </c>
      <c r="J10" s="455"/>
      <c r="K10" s="352"/>
      <c r="L10" s="212">
        <f>150+1500</f>
        <v>1650</v>
      </c>
      <c r="M10" s="212">
        <v>150</v>
      </c>
      <c r="N10" s="212">
        <v>150</v>
      </c>
      <c r="O10" s="212">
        <v>150</v>
      </c>
      <c r="P10" s="212">
        <v>150</v>
      </c>
      <c r="Q10" s="212">
        <f>150+1500</f>
        <v>1650</v>
      </c>
      <c r="R10" s="212">
        <v>150</v>
      </c>
      <c r="S10" s="212">
        <v>150</v>
      </c>
      <c r="T10" s="212">
        <v>150</v>
      </c>
      <c r="U10" s="212">
        <v>150</v>
      </c>
      <c r="V10" s="212"/>
      <c r="W10" s="393"/>
      <c r="X10" s="212">
        <f t="shared" si="4"/>
        <v>4500</v>
      </c>
    </row>
    <row r="11" spans="1:24" ht="27.75" customHeight="1">
      <c r="A11" s="128"/>
      <c r="B11" s="129" t="s">
        <v>420</v>
      </c>
      <c r="C11" s="320">
        <v>0</v>
      </c>
      <c r="D11" s="351">
        <v>510.93</v>
      </c>
      <c r="E11" s="351"/>
      <c r="F11" s="351">
        <f>9000+3000</f>
        <v>12000</v>
      </c>
      <c r="G11" s="67">
        <f t="shared" si="3"/>
        <v>12000</v>
      </c>
      <c r="H11" s="455"/>
      <c r="I11" s="357" t="s">
        <v>421</v>
      </c>
      <c r="J11" s="455"/>
      <c r="K11" s="212"/>
      <c r="L11" s="212">
        <f>2000+1500</f>
        <v>3500</v>
      </c>
      <c r="M11" s="212">
        <v>750</v>
      </c>
      <c r="N11" s="212">
        <v>750</v>
      </c>
      <c r="O11" s="212">
        <v>650</v>
      </c>
      <c r="P11" s="212">
        <v>750</v>
      </c>
      <c r="Q11" s="212">
        <f>2500+1500</f>
        <v>4000</v>
      </c>
      <c r="R11" s="212">
        <v>750</v>
      </c>
      <c r="S11" s="212">
        <v>600</v>
      </c>
      <c r="T11" s="212">
        <v>250</v>
      </c>
      <c r="U11" s="212"/>
      <c r="V11" s="212"/>
      <c r="W11" s="393"/>
      <c r="X11" s="212">
        <f t="shared" si="4"/>
        <v>12000</v>
      </c>
    </row>
    <row r="12" spans="1:24" ht="26.25" customHeight="1">
      <c r="A12" s="128"/>
      <c r="B12" s="129" t="s">
        <v>422</v>
      </c>
      <c r="C12" s="320">
        <v>0</v>
      </c>
      <c r="D12" s="351">
        <v>35.44</v>
      </c>
      <c r="E12" s="351"/>
      <c r="F12" s="351">
        <v>500</v>
      </c>
      <c r="G12" s="67">
        <f t="shared" si="3"/>
        <v>500</v>
      </c>
      <c r="H12" s="455"/>
      <c r="I12" s="357" t="s">
        <v>423</v>
      </c>
      <c r="J12" s="455"/>
      <c r="K12" s="212"/>
      <c r="L12" s="212">
        <v>50</v>
      </c>
      <c r="M12" s="212">
        <v>50</v>
      </c>
      <c r="N12" s="212">
        <v>50</v>
      </c>
      <c r="O12" s="212">
        <v>50</v>
      </c>
      <c r="P12" s="212">
        <v>50</v>
      </c>
      <c r="Q12" s="212">
        <v>50</v>
      </c>
      <c r="R12" s="212">
        <v>50</v>
      </c>
      <c r="S12" s="212">
        <v>50</v>
      </c>
      <c r="T12" s="212">
        <v>50</v>
      </c>
      <c r="U12" s="212">
        <v>50</v>
      </c>
      <c r="V12" s="212"/>
      <c r="W12" s="393"/>
      <c r="X12" s="212">
        <f t="shared" si="4"/>
        <v>500</v>
      </c>
    </row>
    <row r="13" spans="1:24" ht="27" customHeight="1">
      <c r="A13" s="128"/>
      <c r="B13" s="129" t="s">
        <v>87</v>
      </c>
      <c r="C13" s="320">
        <v>0</v>
      </c>
      <c r="D13" s="351">
        <v>210.6</v>
      </c>
      <c r="E13" s="351"/>
      <c r="F13" s="351">
        <v>1000</v>
      </c>
      <c r="G13" s="67">
        <f t="shared" si="3"/>
        <v>1000</v>
      </c>
      <c r="H13" s="455"/>
      <c r="I13" s="357" t="s">
        <v>424</v>
      </c>
      <c r="J13" s="455"/>
      <c r="K13" s="212"/>
      <c r="L13" s="212">
        <v>100</v>
      </c>
      <c r="M13" s="212">
        <v>100</v>
      </c>
      <c r="N13" s="212">
        <v>100</v>
      </c>
      <c r="O13" s="212">
        <v>100</v>
      </c>
      <c r="P13" s="212">
        <v>100</v>
      </c>
      <c r="Q13" s="212">
        <v>100</v>
      </c>
      <c r="R13" s="212">
        <v>100</v>
      </c>
      <c r="S13" s="212">
        <v>100</v>
      </c>
      <c r="T13" s="212">
        <v>100</v>
      </c>
      <c r="U13" s="212">
        <v>100</v>
      </c>
      <c r="V13" s="212"/>
      <c r="W13" s="393"/>
      <c r="X13" s="212">
        <f t="shared" si="4"/>
        <v>1000</v>
      </c>
    </row>
    <row r="14" spans="1:24" ht="15.75" customHeight="1">
      <c r="A14" s="207"/>
      <c r="B14" s="207" t="s">
        <v>425</v>
      </c>
      <c r="C14" s="208">
        <v>0</v>
      </c>
      <c r="D14" s="351">
        <v>0</v>
      </c>
      <c r="E14" s="351">
        <v>0</v>
      </c>
      <c r="F14" s="351">
        <v>0</v>
      </c>
      <c r="G14" s="67">
        <f t="shared" si="3"/>
        <v>0</v>
      </c>
      <c r="H14" s="455"/>
      <c r="I14" s="316" t="s">
        <v>426</v>
      </c>
      <c r="J14" s="455"/>
      <c r="K14" s="212"/>
      <c r="L14" s="212">
        <v>0</v>
      </c>
      <c r="M14" s="212"/>
      <c r="N14" s="212"/>
      <c r="O14" s="212"/>
      <c r="P14" s="212"/>
      <c r="Q14" s="212">
        <v>0</v>
      </c>
      <c r="R14" s="212"/>
      <c r="S14" s="212"/>
      <c r="T14" s="212"/>
      <c r="U14" s="212"/>
      <c r="V14" s="212"/>
      <c r="W14" s="393"/>
      <c r="X14" s="212">
        <f t="shared" si="4"/>
        <v>0</v>
      </c>
    </row>
    <row r="15" spans="1:24" ht="15.75" customHeight="1">
      <c r="A15" s="128" t="s">
        <v>305</v>
      </c>
      <c r="B15" s="128"/>
      <c r="C15" s="384">
        <f t="shared" ref="C15:F15" si="5">SUM(C9:C14)</f>
        <v>0</v>
      </c>
      <c r="D15" s="354">
        <f t="shared" si="5"/>
        <v>4676.95</v>
      </c>
      <c r="E15" s="354">
        <f t="shared" si="5"/>
        <v>0</v>
      </c>
      <c r="F15" s="354">
        <f t="shared" si="5"/>
        <v>18000</v>
      </c>
      <c r="G15" s="353">
        <f t="shared" si="3"/>
        <v>18000</v>
      </c>
      <c r="H15" s="456"/>
      <c r="I15" s="354"/>
      <c r="J15" s="456"/>
      <c r="K15" s="323">
        <f t="shared" ref="K15:V15" si="6">SUM(K9:K14)</f>
        <v>0</v>
      </c>
      <c r="L15" s="323">
        <f t="shared" si="6"/>
        <v>5300</v>
      </c>
      <c r="M15" s="323">
        <f t="shared" si="6"/>
        <v>1050</v>
      </c>
      <c r="N15" s="323">
        <f t="shared" si="6"/>
        <v>1050</v>
      </c>
      <c r="O15" s="323">
        <f t="shared" si="6"/>
        <v>950</v>
      </c>
      <c r="P15" s="323">
        <f t="shared" si="6"/>
        <v>1050</v>
      </c>
      <c r="Q15" s="323">
        <f t="shared" si="6"/>
        <v>5800</v>
      </c>
      <c r="R15" s="323">
        <f t="shared" si="6"/>
        <v>1050</v>
      </c>
      <c r="S15" s="323">
        <f t="shared" si="6"/>
        <v>900</v>
      </c>
      <c r="T15" s="323">
        <f t="shared" si="6"/>
        <v>550</v>
      </c>
      <c r="U15" s="323">
        <f t="shared" si="6"/>
        <v>300</v>
      </c>
      <c r="V15" s="323">
        <f t="shared" si="6"/>
        <v>0</v>
      </c>
      <c r="W15" s="394"/>
      <c r="X15" s="323">
        <f>SUM(X9:X14)</f>
        <v>18000</v>
      </c>
    </row>
    <row r="16" spans="1:24" ht="15.75" customHeight="1">
      <c r="C16" s="328"/>
      <c r="D16" s="289"/>
      <c r="E16" s="289"/>
      <c r="F16" s="289"/>
      <c r="G16" s="289"/>
      <c r="H16" s="289"/>
      <c r="I16" s="289"/>
      <c r="J16" s="289"/>
      <c r="K16" s="289"/>
      <c r="L16" s="422"/>
      <c r="M16" s="289"/>
      <c r="N16" s="289"/>
      <c r="O16" s="289"/>
      <c r="P16" s="289"/>
      <c r="Q16" s="289"/>
      <c r="R16" s="289"/>
      <c r="S16" s="289"/>
      <c r="T16" s="289"/>
      <c r="U16" s="289"/>
      <c r="V16" s="289"/>
      <c r="W16" s="289"/>
      <c r="X16" s="289"/>
    </row>
    <row r="17" spans="3:24" ht="15.75" customHeight="1">
      <c r="C17" s="328"/>
      <c r="D17" s="289"/>
      <c r="E17" s="289"/>
      <c r="F17" s="289" t="s">
        <v>427</v>
      </c>
      <c r="G17" s="289"/>
      <c r="H17" s="289"/>
      <c r="I17" s="289"/>
      <c r="J17" s="289"/>
      <c r="K17" s="289"/>
      <c r="L17" s="422"/>
      <c r="M17" s="289"/>
      <c r="N17" s="289"/>
      <c r="O17" s="289"/>
      <c r="P17" s="289"/>
      <c r="Q17" s="289"/>
      <c r="R17" s="289"/>
      <c r="S17" s="289"/>
      <c r="T17" s="289"/>
      <c r="U17" s="289"/>
      <c r="V17" s="289"/>
      <c r="W17" s="289"/>
      <c r="X17" s="289"/>
    </row>
    <row r="18" spans="3:24" ht="15.75" customHeight="1">
      <c r="C18" s="328"/>
      <c r="D18" s="289"/>
      <c r="E18" s="289"/>
      <c r="F18" s="289"/>
      <c r="G18" s="289"/>
      <c r="H18" s="289"/>
      <c r="I18" s="289"/>
      <c r="J18" s="289"/>
      <c r="K18" s="289"/>
      <c r="L18" s="422"/>
      <c r="M18" s="289"/>
      <c r="N18" s="289"/>
      <c r="O18" s="289"/>
      <c r="P18" s="289"/>
      <c r="Q18" s="289"/>
      <c r="R18" s="289"/>
      <c r="S18" s="289"/>
      <c r="T18" s="289"/>
      <c r="U18" s="289"/>
      <c r="V18" s="289"/>
      <c r="W18" s="289"/>
      <c r="X18" s="289"/>
    </row>
    <row r="19" spans="3:24" ht="15.75" customHeight="1">
      <c r="C19" s="328"/>
      <c r="D19" s="289"/>
      <c r="E19" s="289"/>
      <c r="F19" s="289"/>
      <c r="G19" s="289"/>
      <c r="H19" s="289"/>
      <c r="I19" s="289"/>
      <c r="J19" s="289"/>
      <c r="K19" s="289"/>
      <c r="L19" s="422"/>
      <c r="M19" s="289"/>
      <c r="N19" s="289"/>
      <c r="O19" s="289"/>
      <c r="P19" s="289"/>
      <c r="Q19" s="289"/>
      <c r="R19" s="289"/>
      <c r="S19" s="289"/>
      <c r="T19" s="289"/>
      <c r="U19" s="289"/>
      <c r="V19" s="289"/>
      <c r="W19" s="289"/>
      <c r="X19" s="289"/>
    </row>
    <row r="20" spans="3:24" ht="15.75" customHeight="1">
      <c r="C20" s="328"/>
      <c r="D20" s="289"/>
      <c r="E20" s="289"/>
      <c r="F20" s="289"/>
      <c r="G20" s="289"/>
      <c r="H20" s="289"/>
      <c r="I20" s="289"/>
      <c r="J20" s="289"/>
      <c r="K20" s="289"/>
      <c r="L20" s="422"/>
      <c r="M20" s="289"/>
      <c r="N20" s="289"/>
      <c r="O20" s="289"/>
      <c r="P20" s="289"/>
      <c r="Q20" s="289"/>
      <c r="R20" s="289"/>
      <c r="S20" s="289"/>
      <c r="T20" s="289"/>
      <c r="U20" s="289"/>
      <c r="V20" s="289"/>
      <c r="W20" s="289"/>
      <c r="X20" s="289"/>
    </row>
    <row r="21" spans="3:24" ht="15.75" customHeight="1">
      <c r="C21" s="328"/>
      <c r="D21" s="289"/>
      <c r="E21" s="289"/>
      <c r="F21" s="289"/>
      <c r="G21" s="289"/>
      <c r="H21" s="289"/>
      <c r="I21" s="289"/>
      <c r="J21" s="289"/>
      <c r="K21" s="289"/>
      <c r="L21" s="422"/>
      <c r="M21" s="289"/>
      <c r="N21" s="289"/>
      <c r="O21" s="289"/>
      <c r="P21" s="289"/>
      <c r="Q21" s="289"/>
      <c r="R21" s="289"/>
      <c r="S21" s="289"/>
      <c r="T21" s="289"/>
      <c r="U21" s="289"/>
      <c r="V21" s="289"/>
      <c r="W21" s="289"/>
      <c r="X21" s="289"/>
    </row>
    <row r="22" spans="3:24" ht="15.75" customHeight="1">
      <c r="C22" s="328"/>
      <c r="D22" s="289"/>
      <c r="E22" s="289"/>
      <c r="F22" s="289"/>
      <c r="G22" s="289"/>
      <c r="H22" s="289"/>
      <c r="I22" s="289"/>
      <c r="J22" s="289"/>
      <c r="K22" s="289"/>
      <c r="L22" s="422"/>
      <c r="M22" s="289"/>
      <c r="N22" s="289"/>
      <c r="O22" s="289"/>
      <c r="P22" s="289"/>
      <c r="Q22" s="289"/>
      <c r="R22" s="289"/>
      <c r="S22" s="289"/>
      <c r="T22" s="289"/>
      <c r="U22" s="289"/>
      <c r="V22" s="289"/>
      <c r="W22" s="289"/>
      <c r="X22" s="289"/>
    </row>
    <row r="23" spans="3:24" ht="15.75" customHeight="1">
      <c r="C23" s="328"/>
      <c r="D23" s="289"/>
      <c r="E23" s="289"/>
      <c r="F23" s="289"/>
      <c r="G23" s="289"/>
      <c r="H23" s="289"/>
      <c r="I23" s="289"/>
      <c r="J23" s="289"/>
      <c r="K23" s="289"/>
      <c r="L23" s="422"/>
      <c r="M23" s="289"/>
      <c r="N23" s="289"/>
      <c r="O23" s="289"/>
      <c r="P23" s="289"/>
      <c r="Q23" s="289"/>
      <c r="R23" s="289"/>
      <c r="S23" s="289"/>
      <c r="T23" s="289"/>
      <c r="U23" s="289"/>
      <c r="V23" s="289"/>
      <c r="W23" s="289"/>
      <c r="X23" s="289"/>
    </row>
    <row r="24" spans="3:24" ht="15.75" customHeight="1">
      <c r="C24" s="328"/>
      <c r="D24" s="289"/>
      <c r="E24" s="289"/>
      <c r="F24" s="289"/>
      <c r="G24" s="289"/>
      <c r="H24" s="289"/>
      <c r="I24" s="289"/>
      <c r="J24" s="289"/>
      <c r="K24" s="289"/>
      <c r="L24" s="422"/>
      <c r="M24" s="289"/>
      <c r="N24" s="289"/>
      <c r="O24" s="289"/>
      <c r="P24" s="289"/>
      <c r="Q24" s="289"/>
      <c r="R24" s="289"/>
      <c r="S24" s="289"/>
      <c r="T24" s="289"/>
      <c r="U24" s="289"/>
      <c r="V24" s="289"/>
      <c r="W24" s="289"/>
      <c r="X24" s="289"/>
    </row>
    <row r="25" spans="3:24" ht="15.75" customHeight="1">
      <c r="C25" s="328"/>
      <c r="D25" s="289"/>
      <c r="E25" s="289"/>
      <c r="F25" s="289"/>
      <c r="G25" s="289"/>
      <c r="H25" s="289"/>
      <c r="I25" s="289"/>
      <c r="J25" s="289"/>
      <c r="K25" s="289"/>
      <c r="L25" s="422"/>
      <c r="M25" s="289"/>
      <c r="N25" s="289"/>
      <c r="O25" s="289"/>
      <c r="P25" s="289"/>
      <c r="Q25" s="289"/>
      <c r="R25" s="289"/>
      <c r="S25" s="289"/>
      <c r="T25" s="289"/>
      <c r="U25" s="289"/>
      <c r="V25" s="289"/>
      <c r="W25" s="289"/>
      <c r="X25" s="289"/>
    </row>
    <row r="26" spans="3:24" ht="15.75" customHeight="1">
      <c r="C26" s="328"/>
      <c r="D26" s="289"/>
      <c r="E26" s="289"/>
      <c r="F26" s="289"/>
      <c r="G26" s="289"/>
      <c r="H26" s="289"/>
      <c r="I26" s="289"/>
      <c r="J26" s="289"/>
      <c r="K26" s="289"/>
      <c r="L26" s="422"/>
      <c r="M26" s="289"/>
      <c r="N26" s="289"/>
      <c r="O26" s="289"/>
      <c r="P26" s="289"/>
      <c r="Q26" s="289"/>
      <c r="R26" s="289"/>
      <c r="S26" s="289"/>
      <c r="T26" s="289"/>
      <c r="U26" s="289"/>
      <c r="V26" s="289"/>
      <c r="W26" s="289"/>
      <c r="X26" s="289"/>
    </row>
    <row r="27" spans="3:24" ht="15.75" customHeight="1">
      <c r="C27" s="328"/>
      <c r="D27" s="289"/>
      <c r="E27" s="289"/>
      <c r="F27" s="289"/>
      <c r="G27" s="289"/>
      <c r="H27" s="289"/>
      <c r="I27" s="289"/>
      <c r="J27" s="289"/>
      <c r="K27" s="289"/>
      <c r="L27" s="422"/>
      <c r="M27" s="289"/>
      <c r="N27" s="289"/>
      <c r="O27" s="289"/>
      <c r="P27" s="289"/>
      <c r="Q27" s="289"/>
      <c r="R27" s="289"/>
      <c r="S27" s="289"/>
      <c r="T27" s="289"/>
      <c r="U27" s="289"/>
      <c r="V27" s="289"/>
      <c r="W27" s="289"/>
      <c r="X27" s="289"/>
    </row>
    <row r="28" spans="3:24" ht="15.75" customHeight="1">
      <c r="C28" s="328"/>
      <c r="D28" s="289"/>
      <c r="E28" s="289"/>
      <c r="F28" s="289"/>
      <c r="G28" s="289"/>
      <c r="H28" s="289"/>
      <c r="I28" s="289"/>
      <c r="J28" s="289"/>
      <c r="K28" s="289"/>
      <c r="L28" s="422"/>
      <c r="M28" s="289"/>
      <c r="N28" s="289"/>
      <c r="O28" s="289"/>
      <c r="P28" s="289"/>
      <c r="Q28" s="289"/>
      <c r="R28" s="289"/>
      <c r="S28" s="289"/>
      <c r="T28" s="289"/>
      <c r="U28" s="289"/>
      <c r="V28" s="289"/>
      <c r="W28" s="289"/>
      <c r="X28" s="289"/>
    </row>
    <row r="29" spans="3:24" ht="15.75" customHeight="1">
      <c r="C29" s="328"/>
      <c r="D29" s="289"/>
      <c r="E29" s="289"/>
      <c r="F29" s="289"/>
      <c r="G29" s="289"/>
      <c r="H29" s="289"/>
      <c r="I29" s="289"/>
      <c r="J29" s="289"/>
      <c r="K29" s="289"/>
      <c r="L29" s="422"/>
      <c r="M29" s="289"/>
      <c r="N29" s="289"/>
      <c r="O29" s="289"/>
      <c r="P29" s="289"/>
      <c r="Q29" s="289"/>
      <c r="R29" s="289"/>
      <c r="S29" s="289"/>
      <c r="T29" s="289"/>
      <c r="U29" s="289"/>
      <c r="V29" s="289"/>
      <c r="W29" s="289"/>
      <c r="X29" s="289"/>
    </row>
    <row r="30" spans="3:24" ht="15.75" customHeight="1">
      <c r="C30" s="328"/>
      <c r="D30" s="289"/>
      <c r="E30" s="289"/>
      <c r="F30" s="289"/>
      <c r="G30" s="289"/>
      <c r="H30" s="289"/>
      <c r="I30" s="289"/>
      <c r="J30" s="289"/>
      <c r="K30" s="289"/>
      <c r="L30" s="422"/>
      <c r="M30" s="289"/>
      <c r="N30" s="289"/>
      <c r="O30" s="289"/>
      <c r="P30" s="289"/>
      <c r="Q30" s="289"/>
      <c r="R30" s="289"/>
      <c r="S30" s="289"/>
      <c r="T30" s="289"/>
      <c r="U30" s="289"/>
      <c r="V30" s="289"/>
      <c r="W30" s="289"/>
      <c r="X30" s="289"/>
    </row>
    <row r="31" spans="3:24" ht="15.75" customHeight="1">
      <c r="C31" s="328"/>
      <c r="D31" s="289"/>
      <c r="E31" s="289"/>
      <c r="F31" s="289"/>
      <c r="G31" s="289"/>
      <c r="H31" s="289"/>
      <c r="I31" s="289"/>
      <c r="J31" s="289"/>
      <c r="K31" s="289"/>
      <c r="L31" s="422"/>
      <c r="M31" s="289"/>
      <c r="N31" s="289"/>
      <c r="O31" s="289"/>
      <c r="P31" s="289"/>
      <c r="Q31" s="289"/>
      <c r="R31" s="289"/>
      <c r="S31" s="289"/>
      <c r="T31" s="289"/>
      <c r="U31" s="289"/>
      <c r="V31" s="289"/>
      <c r="W31" s="289"/>
      <c r="X31" s="289"/>
    </row>
    <row r="32" spans="3:24" ht="15.75" customHeight="1">
      <c r="C32" s="328"/>
      <c r="D32" s="289"/>
      <c r="E32" s="289"/>
      <c r="F32" s="289"/>
      <c r="G32" s="289"/>
      <c r="H32" s="289"/>
      <c r="I32" s="289"/>
      <c r="J32" s="289"/>
      <c r="K32" s="289"/>
      <c r="L32" s="422"/>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422"/>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422"/>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422"/>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422"/>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422"/>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422"/>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422"/>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422"/>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422"/>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422"/>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422"/>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422"/>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422"/>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422"/>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422"/>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422"/>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422"/>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422"/>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422"/>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422"/>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422"/>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422"/>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422"/>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422"/>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422"/>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422"/>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422"/>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422"/>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422"/>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422"/>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422"/>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422"/>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422"/>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422"/>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422"/>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422"/>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422"/>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422"/>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422"/>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422"/>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422"/>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422"/>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422"/>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422"/>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422"/>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422"/>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422"/>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422"/>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422"/>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422"/>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422"/>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422"/>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422"/>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422"/>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422"/>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422"/>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422"/>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422"/>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422"/>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422"/>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422"/>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422"/>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422"/>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422"/>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422"/>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422"/>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422"/>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422"/>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422"/>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422"/>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422"/>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422"/>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422"/>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422"/>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422"/>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422"/>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422"/>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422"/>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422"/>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422"/>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422"/>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422"/>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422"/>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422"/>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422"/>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422"/>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422"/>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422"/>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422"/>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422"/>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422"/>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422"/>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422"/>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422"/>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422"/>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422"/>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422"/>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422"/>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422"/>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422"/>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422"/>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422"/>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422"/>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422"/>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422"/>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422"/>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422"/>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422"/>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422"/>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422"/>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422"/>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422"/>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422"/>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422"/>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422"/>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422"/>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422"/>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422"/>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422"/>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422"/>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422"/>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422"/>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422"/>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422"/>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422"/>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422"/>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422"/>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422"/>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422"/>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422"/>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422"/>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422"/>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422"/>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422"/>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422"/>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422"/>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422"/>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422"/>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422"/>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422"/>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422"/>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422"/>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422"/>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422"/>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422"/>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422"/>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422"/>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422"/>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422"/>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422"/>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422"/>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422"/>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422"/>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422"/>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422"/>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422"/>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422"/>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422"/>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422"/>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422"/>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422"/>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422"/>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422"/>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422"/>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422"/>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422"/>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422"/>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422"/>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422"/>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422"/>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422"/>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422"/>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422"/>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422"/>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422"/>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422"/>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422"/>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422"/>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422"/>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422"/>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422"/>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422"/>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422"/>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422"/>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422"/>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422"/>
      <c r="M218" s="289"/>
      <c r="N218" s="289"/>
      <c r="O218" s="289"/>
      <c r="P218" s="289"/>
      <c r="Q218" s="289"/>
      <c r="R218" s="289"/>
      <c r="S218" s="289"/>
      <c r="T218" s="289"/>
      <c r="U218" s="289"/>
      <c r="V218" s="289"/>
      <c r="W218" s="289"/>
      <c r="X218" s="289"/>
    </row>
    <row r="219" spans="3:24" ht="15.75" customHeight="1">
      <c r="C219" s="328"/>
      <c r="D219" s="289"/>
      <c r="E219" s="289"/>
      <c r="F219" s="289"/>
      <c r="G219" s="289"/>
      <c r="H219" s="289"/>
      <c r="I219" s="289"/>
      <c r="J219" s="289"/>
      <c r="K219" s="289"/>
      <c r="L219" s="422"/>
      <c r="M219" s="289"/>
      <c r="N219" s="289"/>
      <c r="O219" s="289"/>
      <c r="P219" s="289"/>
      <c r="Q219" s="289"/>
      <c r="R219" s="289"/>
      <c r="S219" s="289"/>
      <c r="T219" s="289"/>
      <c r="U219" s="289"/>
      <c r="V219" s="289"/>
      <c r="W219" s="289"/>
      <c r="X219" s="289"/>
    </row>
    <row r="220" spans="3:24" ht="15.75" customHeight="1"/>
    <row r="221" spans="3:24" ht="15.75" customHeight="1"/>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ageMargins left="0.7" right="0.7" top="0.75" bottom="0.75" header="0" footer="0"/>
  <pageSetup orientation="landscape"/>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X1003"/>
  <sheetViews>
    <sheetView workbookViewId="0"/>
  </sheetViews>
  <sheetFormatPr defaultColWidth="12.5703125" defaultRowHeight="15" customHeight="1"/>
  <cols>
    <col min="1" max="1" width="6.140625" customWidth="1"/>
    <col min="2" max="2" width="26.140625" customWidth="1"/>
    <col min="3" max="3" width="13.28515625" customWidth="1"/>
    <col min="4" max="4" width="13.7109375" customWidth="1"/>
    <col min="5" max="5" width="13" customWidth="1"/>
    <col min="6" max="6" width="10.42578125" customWidth="1"/>
    <col min="7" max="7" width="13.85546875" customWidth="1"/>
    <col min="8" max="8" width="1.85546875" customWidth="1"/>
    <col min="9" max="9" width="31.42578125" customWidth="1"/>
    <col min="10" max="10" width="2"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3" customWidth="1"/>
    <col min="24" max="24" width="11.42578125" customWidth="1"/>
  </cols>
  <sheetData>
    <row r="1" spans="1:24" ht="15.75" customHeight="1">
      <c r="A1" s="128" t="s">
        <v>428</v>
      </c>
      <c r="B1" s="129"/>
      <c r="C1" s="129"/>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429</v>
      </c>
      <c r="B2" s="128"/>
      <c r="C2" s="129"/>
      <c r="D2" s="129"/>
      <c r="E2" s="129"/>
      <c r="F2" s="129"/>
      <c r="G2" s="129"/>
      <c r="H2" s="129"/>
      <c r="I2" s="129"/>
      <c r="J2" s="129"/>
      <c r="K2" s="129"/>
      <c r="L2" s="129"/>
      <c r="M2" s="129"/>
      <c r="N2" s="129"/>
      <c r="O2" s="129"/>
      <c r="P2" s="129"/>
      <c r="Q2" s="129"/>
      <c r="R2" s="129"/>
      <c r="S2" s="129"/>
      <c r="T2" s="129"/>
      <c r="U2" s="129"/>
      <c r="V2" s="129"/>
      <c r="W2" s="129"/>
      <c r="X2" s="129"/>
    </row>
    <row r="3" spans="1:24" ht="15.75" customHeight="1">
      <c r="A3" s="293"/>
      <c r="B3" s="457"/>
      <c r="C3" s="129"/>
      <c r="D3" s="129"/>
      <c r="E3" s="129"/>
      <c r="F3" s="129"/>
      <c r="G3" s="129"/>
      <c r="H3" s="129"/>
      <c r="I3" s="129"/>
      <c r="J3" s="129"/>
      <c r="K3" s="129"/>
      <c r="L3" s="129"/>
      <c r="M3" s="129"/>
      <c r="N3" s="129"/>
      <c r="O3" s="129"/>
      <c r="P3" s="129"/>
      <c r="Q3" s="129"/>
      <c r="R3" s="135"/>
      <c r="S3" s="135"/>
      <c r="T3" s="129"/>
      <c r="U3" s="129"/>
      <c r="V3" s="129"/>
      <c r="W3" s="129"/>
      <c r="X3" s="129"/>
    </row>
    <row r="4" spans="1:24" ht="40.5" customHeight="1">
      <c r="A4" s="128" t="s">
        <v>126</v>
      </c>
      <c r="B4" s="129"/>
      <c r="C4" s="137" t="s">
        <v>127</v>
      </c>
      <c r="D4" s="140" t="s">
        <v>128</v>
      </c>
      <c r="E4" s="140" t="s">
        <v>129</v>
      </c>
      <c r="F4" s="140" t="s">
        <v>130</v>
      </c>
      <c r="G4" s="140" t="s">
        <v>131</v>
      </c>
      <c r="H4" s="298"/>
      <c r="I4" s="299" t="s">
        <v>298</v>
      </c>
      <c r="J4" s="298"/>
      <c r="K4" s="458">
        <v>45474</v>
      </c>
      <c r="L4" s="458">
        <v>45505</v>
      </c>
      <c r="M4" s="458">
        <v>45536</v>
      </c>
      <c r="N4" s="458">
        <v>45566</v>
      </c>
      <c r="O4" s="458">
        <v>45597</v>
      </c>
      <c r="P4" s="458">
        <v>45627</v>
      </c>
      <c r="Q4" s="458">
        <v>45658</v>
      </c>
      <c r="R4" s="458">
        <v>45689</v>
      </c>
      <c r="S4" s="458">
        <v>45717</v>
      </c>
      <c r="T4" s="458">
        <v>45748</v>
      </c>
      <c r="U4" s="458">
        <v>45778</v>
      </c>
      <c r="V4" s="458">
        <v>45809</v>
      </c>
      <c r="W4" s="300"/>
      <c r="X4" s="144" t="s">
        <v>132</v>
      </c>
    </row>
    <row r="5" spans="1:24" ht="15.75" customHeight="1">
      <c r="A5" s="128" t="s">
        <v>153</v>
      </c>
      <c r="B5" s="128"/>
      <c r="C5" s="128">
        <v>0</v>
      </c>
      <c r="D5" s="336"/>
      <c r="E5" s="336"/>
      <c r="F5" s="336"/>
      <c r="G5" s="336"/>
      <c r="H5" s="337"/>
      <c r="I5" s="336"/>
      <c r="J5" s="337"/>
      <c r="K5" s="339"/>
      <c r="L5" s="339"/>
      <c r="M5" s="339"/>
      <c r="N5" s="339"/>
      <c r="O5" s="339"/>
      <c r="P5" s="339"/>
      <c r="Q5" s="339"/>
      <c r="R5" s="339"/>
      <c r="S5" s="339"/>
      <c r="T5" s="339"/>
      <c r="U5" s="339"/>
      <c r="V5" s="339"/>
      <c r="W5" s="389"/>
      <c r="X5" s="339">
        <f>SUM(X4)</f>
        <v>0</v>
      </c>
    </row>
    <row r="6" spans="1:24" ht="15.75" customHeight="1">
      <c r="A6" s="128"/>
      <c r="B6" s="129"/>
      <c r="C6" s="129"/>
      <c r="D6" s="135"/>
      <c r="E6" s="135"/>
      <c r="F6" s="135"/>
      <c r="G6" s="135"/>
      <c r="H6" s="135"/>
      <c r="I6" s="135"/>
      <c r="J6" s="135"/>
      <c r="K6" s="135"/>
      <c r="L6" s="135"/>
      <c r="M6" s="135"/>
      <c r="N6" s="135"/>
      <c r="O6" s="135"/>
      <c r="P6" s="135"/>
      <c r="Q6" s="135"/>
      <c r="R6" s="135"/>
      <c r="S6" s="135"/>
      <c r="T6" s="135"/>
      <c r="U6" s="135"/>
      <c r="V6" s="135"/>
      <c r="W6" s="135"/>
      <c r="X6" s="135"/>
    </row>
    <row r="7" spans="1:24" ht="31.5" customHeight="1">
      <c r="A7" s="128" t="s">
        <v>154</v>
      </c>
      <c r="B7" s="129"/>
      <c r="C7" s="137"/>
      <c r="D7" s="140"/>
      <c r="E7" s="140"/>
      <c r="F7" s="140"/>
      <c r="G7" s="140"/>
      <c r="H7" s="344"/>
      <c r="I7" s="344"/>
      <c r="J7" s="295"/>
      <c r="K7" s="295"/>
      <c r="L7" s="295"/>
      <c r="M7" s="295"/>
      <c r="N7" s="295"/>
      <c r="O7" s="295"/>
      <c r="P7" s="295"/>
      <c r="Q7" s="295"/>
      <c r="R7" s="295"/>
      <c r="S7" s="295"/>
      <c r="T7" s="295"/>
      <c r="U7" s="295"/>
      <c r="V7" s="295"/>
      <c r="W7" s="295"/>
      <c r="X7" s="295"/>
    </row>
    <row r="8" spans="1:24" ht="17.25" customHeight="1">
      <c r="A8" s="185"/>
      <c r="B8" s="459" t="s">
        <v>360</v>
      </c>
      <c r="C8" s="460">
        <f t="shared" ref="C8:F8" si="0">SUM(C9:C10)</f>
        <v>10000</v>
      </c>
      <c r="D8" s="311">
        <f t="shared" si="0"/>
        <v>0</v>
      </c>
      <c r="E8" s="311">
        <f t="shared" si="0"/>
        <v>4800</v>
      </c>
      <c r="F8" s="311">
        <f t="shared" si="0"/>
        <v>15900</v>
      </c>
      <c r="G8" s="311">
        <f t="shared" ref="G8:G20" si="1">F8-C8</f>
        <v>5900</v>
      </c>
      <c r="H8" s="219"/>
      <c r="I8" s="314"/>
      <c r="J8" s="219"/>
      <c r="K8" s="365">
        <f t="shared" ref="K8:V8" si="2">SUM(K9:K10)</f>
        <v>4500</v>
      </c>
      <c r="L8" s="365">
        <f t="shared" si="2"/>
        <v>4500</v>
      </c>
      <c r="M8" s="365">
        <f t="shared" si="2"/>
        <v>0</v>
      </c>
      <c r="N8" s="365">
        <f t="shared" si="2"/>
        <v>0</v>
      </c>
      <c r="O8" s="365">
        <f t="shared" si="2"/>
        <v>0</v>
      </c>
      <c r="P8" s="365">
        <f t="shared" si="2"/>
        <v>0</v>
      </c>
      <c r="Q8" s="365">
        <f t="shared" si="2"/>
        <v>0</v>
      </c>
      <c r="R8" s="365">
        <f t="shared" si="2"/>
        <v>1500</v>
      </c>
      <c r="S8" s="365">
        <f t="shared" si="2"/>
        <v>1500</v>
      </c>
      <c r="T8" s="365">
        <f t="shared" si="2"/>
        <v>1500</v>
      </c>
      <c r="U8" s="365">
        <f t="shared" si="2"/>
        <v>2400</v>
      </c>
      <c r="V8" s="365">
        <f t="shared" si="2"/>
        <v>0</v>
      </c>
      <c r="W8" s="402"/>
      <c r="X8" s="365">
        <f>SUM(X9:X10)</f>
        <v>15900</v>
      </c>
    </row>
    <row r="9" spans="1:24" ht="14.25" customHeight="1">
      <c r="A9" s="207"/>
      <c r="B9" s="222" t="s">
        <v>430</v>
      </c>
      <c r="C9" s="461">
        <v>0</v>
      </c>
      <c r="D9" s="351">
        <v>0</v>
      </c>
      <c r="E9" s="67">
        <v>2400</v>
      </c>
      <c r="F9" s="67">
        <v>2400</v>
      </c>
      <c r="G9" s="351">
        <f t="shared" si="1"/>
        <v>2400</v>
      </c>
      <c r="H9" s="211"/>
      <c r="I9" s="351"/>
      <c r="J9" s="211"/>
      <c r="K9" s="373">
        <v>0</v>
      </c>
      <c r="L9" s="373">
        <v>0</v>
      </c>
      <c r="M9" s="373">
        <v>0</v>
      </c>
      <c r="N9" s="373">
        <v>0</v>
      </c>
      <c r="O9" s="373">
        <v>0</v>
      </c>
      <c r="P9" s="373">
        <v>0</v>
      </c>
      <c r="Q9" s="373">
        <v>0</v>
      </c>
      <c r="R9" s="373">
        <v>0</v>
      </c>
      <c r="S9" s="373">
        <v>0</v>
      </c>
      <c r="T9" s="373">
        <v>0</v>
      </c>
      <c r="U9" s="318">
        <v>2400</v>
      </c>
      <c r="V9" s="362">
        <v>0</v>
      </c>
      <c r="W9" s="393"/>
      <c r="X9" s="212">
        <f t="shared" ref="X9:X10" si="3">SUM(K9:V9)</f>
        <v>2400</v>
      </c>
    </row>
    <row r="10" spans="1:24" ht="27" customHeight="1">
      <c r="A10" s="207"/>
      <c r="B10" s="222" t="s">
        <v>161</v>
      </c>
      <c r="C10" s="461">
        <v>10000</v>
      </c>
      <c r="D10" s="351">
        <v>0</v>
      </c>
      <c r="E10" s="372">
        <v>2400</v>
      </c>
      <c r="F10" s="67">
        <v>13500</v>
      </c>
      <c r="G10" s="351">
        <f t="shared" si="1"/>
        <v>3500</v>
      </c>
      <c r="H10" s="211"/>
      <c r="I10" s="351"/>
      <c r="J10" s="211"/>
      <c r="K10" s="318">
        <v>4500</v>
      </c>
      <c r="L10" s="318">
        <v>4500</v>
      </c>
      <c r="M10" s="362">
        <v>0</v>
      </c>
      <c r="N10" s="362">
        <v>0</v>
      </c>
      <c r="O10" s="362">
        <v>0</v>
      </c>
      <c r="P10" s="362">
        <v>0</v>
      </c>
      <c r="Q10" s="362">
        <v>0</v>
      </c>
      <c r="R10" s="318">
        <v>1500</v>
      </c>
      <c r="S10" s="318">
        <v>1500</v>
      </c>
      <c r="T10" s="318">
        <v>1500</v>
      </c>
      <c r="U10" s="373">
        <v>0</v>
      </c>
      <c r="V10" s="373">
        <v>0</v>
      </c>
      <c r="W10" s="393"/>
      <c r="X10" s="212">
        <f t="shared" si="3"/>
        <v>13500</v>
      </c>
    </row>
    <row r="11" spans="1:24" ht="15.75" customHeight="1">
      <c r="A11" s="128"/>
      <c r="B11" s="128" t="s">
        <v>55</v>
      </c>
      <c r="C11" s="384">
        <f t="shared" ref="C11:F11" si="4">SUM(C12:C13)</f>
        <v>8000</v>
      </c>
      <c r="D11" s="311">
        <f t="shared" si="4"/>
        <v>5124.4699999999993</v>
      </c>
      <c r="E11" s="311">
        <f t="shared" si="4"/>
        <v>2000</v>
      </c>
      <c r="F11" s="311">
        <f t="shared" si="4"/>
        <v>8000</v>
      </c>
      <c r="G11" s="311">
        <f t="shared" si="1"/>
        <v>0</v>
      </c>
      <c r="H11" s="219"/>
      <c r="I11" s="311"/>
      <c r="J11" s="219"/>
      <c r="K11" s="225">
        <f t="shared" ref="K11:V11" si="5">SUM(K12:K13)</f>
        <v>1600</v>
      </c>
      <c r="L11" s="225">
        <f t="shared" si="5"/>
        <v>2000</v>
      </c>
      <c r="M11" s="225">
        <f t="shared" si="5"/>
        <v>500</v>
      </c>
      <c r="N11" s="225">
        <f t="shared" si="5"/>
        <v>500</v>
      </c>
      <c r="O11" s="225">
        <f t="shared" si="5"/>
        <v>500</v>
      </c>
      <c r="P11" s="225">
        <f t="shared" si="5"/>
        <v>400</v>
      </c>
      <c r="Q11" s="225">
        <f t="shared" si="5"/>
        <v>1200</v>
      </c>
      <c r="R11" s="225">
        <f t="shared" si="5"/>
        <v>500</v>
      </c>
      <c r="S11" s="225">
        <f t="shared" si="5"/>
        <v>500</v>
      </c>
      <c r="T11" s="225">
        <f t="shared" si="5"/>
        <v>300</v>
      </c>
      <c r="U11" s="225">
        <f t="shared" si="5"/>
        <v>0</v>
      </c>
      <c r="V11" s="225">
        <f t="shared" si="5"/>
        <v>0</v>
      </c>
      <c r="W11" s="405"/>
      <c r="X11" s="225">
        <f>SUM(X12:X13)</f>
        <v>8000</v>
      </c>
    </row>
    <row r="12" spans="1:24" ht="15.75" customHeight="1">
      <c r="A12" s="128"/>
      <c r="B12" s="129" t="s">
        <v>186</v>
      </c>
      <c r="C12" s="166">
        <v>3000</v>
      </c>
      <c r="D12" s="351">
        <v>1867.3</v>
      </c>
      <c r="E12" s="351">
        <v>1000</v>
      </c>
      <c r="F12" s="351">
        <v>3000</v>
      </c>
      <c r="G12" s="351">
        <f t="shared" si="1"/>
        <v>0</v>
      </c>
      <c r="H12" s="211"/>
      <c r="I12" s="351"/>
      <c r="J12" s="211"/>
      <c r="K12" s="318">
        <v>600</v>
      </c>
      <c r="L12" s="319">
        <v>1000</v>
      </c>
      <c r="M12" s="319">
        <v>200</v>
      </c>
      <c r="N12" s="319">
        <v>200</v>
      </c>
      <c r="O12" s="319">
        <v>200</v>
      </c>
      <c r="P12" s="319">
        <v>200</v>
      </c>
      <c r="Q12" s="319">
        <v>200</v>
      </c>
      <c r="R12" s="319">
        <v>200</v>
      </c>
      <c r="S12" s="319">
        <v>200</v>
      </c>
      <c r="T12" s="376">
        <v>0</v>
      </c>
      <c r="U12" s="376">
        <v>0</v>
      </c>
      <c r="V12" s="376">
        <v>0</v>
      </c>
      <c r="W12" s="393"/>
      <c r="X12" s="212">
        <f t="shared" ref="X12:X17" si="6">SUM(K12:V12)</f>
        <v>3000</v>
      </c>
    </row>
    <row r="13" spans="1:24" ht="15.75" customHeight="1">
      <c r="A13" s="128"/>
      <c r="B13" s="129" t="s">
        <v>187</v>
      </c>
      <c r="C13" s="166">
        <f>10700-5700</f>
        <v>5000</v>
      </c>
      <c r="D13" s="351">
        <v>3257.1699999999996</v>
      </c>
      <c r="E13" s="351">
        <v>1000</v>
      </c>
      <c r="F13" s="351">
        <v>5000</v>
      </c>
      <c r="G13" s="351">
        <f t="shared" si="1"/>
        <v>0</v>
      </c>
      <c r="H13" s="211"/>
      <c r="I13" s="351"/>
      <c r="J13" s="211"/>
      <c r="K13" s="318">
        <v>1000</v>
      </c>
      <c r="L13" s="319">
        <v>1000</v>
      </c>
      <c r="M13" s="319">
        <v>300</v>
      </c>
      <c r="N13" s="319">
        <v>300</v>
      </c>
      <c r="O13" s="319">
        <v>300</v>
      </c>
      <c r="P13" s="319">
        <v>200</v>
      </c>
      <c r="Q13" s="319">
        <v>1000</v>
      </c>
      <c r="R13" s="319">
        <v>300</v>
      </c>
      <c r="S13" s="319">
        <v>300</v>
      </c>
      <c r="T13" s="319">
        <v>300</v>
      </c>
      <c r="U13" s="376">
        <v>0</v>
      </c>
      <c r="V13" s="376">
        <v>0</v>
      </c>
      <c r="W13" s="393"/>
      <c r="X13" s="212">
        <f t="shared" si="6"/>
        <v>5000</v>
      </c>
    </row>
    <row r="14" spans="1:24" ht="15.75" customHeight="1">
      <c r="A14" s="128"/>
      <c r="B14" s="128" t="s">
        <v>361</v>
      </c>
      <c r="C14" s="162">
        <v>0</v>
      </c>
      <c r="D14" s="311">
        <f t="shared" ref="D14:F14" si="7">SUM(D15:D17)</f>
        <v>768</v>
      </c>
      <c r="E14" s="311">
        <f t="shared" si="7"/>
        <v>0</v>
      </c>
      <c r="F14" s="311">
        <f t="shared" si="7"/>
        <v>3000</v>
      </c>
      <c r="G14" s="311">
        <f t="shared" si="1"/>
        <v>3000</v>
      </c>
      <c r="H14" s="219"/>
      <c r="I14" s="314"/>
      <c r="J14" s="219"/>
      <c r="K14" s="225">
        <f t="shared" ref="K14:V14" si="8">SUM(K15:K17)</f>
        <v>600</v>
      </c>
      <c r="L14" s="462">
        <f t="shared" si="8"/>
        <v>400</v>
      </c>
      <c r="M14" s="225">
        <f t="shared" si="8"/>
        <v>100</v>
      </c>
      <c r="N14" s="225">
        <f t="shared" si="8"/>
        <v>0</v>
      </c>
      <c r="O14" s="225">
        <f t="shared" si="8"/>
        <v>300</v>
      </c>
      <c r="P14" s="225">
        <f t="shared" si="8"/>
        <v>0</v>
      </c>
      <c r="Q14" s="225">
        <f t="shared" si="8"/>
        <v>200</v>
      </c>
      <c r="R14" s="225">
        <f t="shared" si="8"/>
        <v>0</v>
      </c>
      <c r="S14" s="225">
        <f t="shared" si="8"/>
        <v>300</v>
      </c>
      <c r="T14" s="225">
        <f t="shared" si="8"/>
        <v>1100</v>
      </c>
      <c r="U14" s="225">
        <f t="shared" si="8"/>
        <v>0</v>
      </c>
      <c r="V14" s="225">
        <f t="shared" si="8"/>
        <v>0</v>
      </c>
      <c r="W14" s="405"/>
      <c r="X14" s="225">
        <f t="shared" si="6"/>
        <v>3000</v>
      </c>
    </row>
    <row r="15" spans="1:24" ht="15.75" customHeight="1">
      <c r="A15" s="207"/>
      <c r="B15" s="107" t="s">
        <v>431</v>
      </c>
      <c r="C15" s="461">
        <v>0</v>
      </c>
      <c r="D15" s="351">
        <v>768</v>
      </c>
      <c r="E15" s="351">
        <v>0</v>
      </c>
      <c r="F15" s="351">
        <v>1000</v>
      </c>
      <c r="G15" s="351">
        <f t="shared" si="1"/>
        <v>1000</v>
      </c>
      <c r="H15" s="368"/>
      <c r="I15" s="351"/>
      <c r="J15" s="211"/>
      <c r="K15" s="373">
        <v>200</v>
      </c>
      <c r="L15" s="376">
        <v>400</v>
      </c>
      <c r="M15" s="376">
        <v>100</v>
      </c>
      <c r="N15" s="376">
        <v>0</v>
      </c>
      <c r="O15" s="376">
        <v>0</v>
      </c>
      <c r="P15" s="376">
        <v>0</v>
      </c>
      <c r="Q15" s="376">
        <v>200</v>
      </c>
      <c r="R15" s="376">
        <v>0</v>
      </c>
      <c r="S15" s="376">
        <v>0</v>
      </c>
      <c r="T15" s="376">
        <v>100</v>
      </c>
      <c r="U15" s="376">
        <v>0</v>
      </c>
      <c r="V15" s="376">
        <v>0</v>
      </c>
      <c r="W15" s="393"/>
      <c r="X15" s="212">
        <f t="shared" si="6"/>
        <v>1000</v>
      </c>
    </row>
    <row r="16" spans="1:24" ht="15.75" customHeight="1">
      <c r="A16" s="207"/>
      <c r="B16" s="107" t="s">
        <v>432</v>
      </c>
      <c r="C16" s="461">
        <v>0</v>
      </c>
      <c r="D16" s="411"/>
      <c r="E16" s="411">
        <v>0</v>
      </c>
      <c r="F16" s="67">
        <v>1000</v>
      </c>
      <c r="G16" s="351">
        <f t="shared" si="1"/>
        <v>1000</v>
      </c>
      <c r="H16" s="368"/>
      <c r="I16" s="351"/>
      <c r="J16" s="211"/>
      <c r="K16" s="318">
        <v>400</v>
      </c>
      <c r="L16" s="382"/>
      <c r="M16" s="382"/>
      <c r="N16" s="382"/>
      <c r="O16" s="319">
        <v>300</v>
      </c>
      <c r="P16" s="382"/>
      <c r="Q16" s="382"/>
      <c r="R16" s="382"/>
      <c r="S16" s="319">
        <v>300</v>
      </c>
      <c r="T16" s="382"/>
      <c r="U16" s="382"/>
      <c r="V16" s="382"/>
      <c r="W16" s="393"/>
      <c r="X16" s="212">
        <f t="shared" si="6"/>
        <v>1000</v>
      </c>
    </row>
    <row r="17" spans="1:24" ht="15.75" customHeight="1">
      <c r="A17" s="207"/>
      <c r="B17" s="107" t="s">
        <v>433</v>
      </c>
      <c r="C17" s="461">
        <v>0</v>
      </c>
      <c r="D17" s="351"/>
      <c r="E17" s="351">
        <v>0</v>
      </c>
      <c r="F17" s="351">
        <v>1000</v>
      </c>
      <c r="G17" s="351">
        <f t="shared" si="1"/>
        <v>1000</v>
      </c>
      <c r="H17" s="368"/>
      <c r="I17" s="351"/>
      <c r="J17" s="211"/>
      <c r="K17" s="373">
        <v>0</v>
      </c>
      <c r="L17" s="376">
        <v>0</v>
      </c>
      <c r="M17" s="376">
        <v>0</v>
      </c>
      <c r="N17" s="376">
        <v>0</v>
      </c>
      <c r="O17" s="376">
        <v>0</v>
      </c>
      <c r="P17" s="376">
        <v>0</v>
      </c>
      <c r="Q17" s="376">
        <v>0</v>
      </c>
      <c r="R17" s="376">
        <v>0</v>
      </c>
      <c r="S17" s="376">
        <v>0</v>
      </c>
      <c r="T17" s="319">
        <v>1000</v>
      </c>
      <c r="U17" s="376">
        <v>0</v>
      </c>
      <c r="V17" s="376">
        <v>0</v>
      </c>
      <c r="W17" s="393"/>
      <c r="X17" s="212">
        <f t="shared" si="6"/>
        <v>1000</v>
      </c>
    </row>
    <row r="18" spans="1:24" ht="15.75" customHeight="1">
      <c r="A18" s="128"/>
      <c r="B18" s="128" t="s">
        <v>434</v>
      </c>
      <c r="C18" s="384">
        <f t="shared" ref="C18:F18" si="9">C19</f>
        <v>5000</v>
      </c>
      <c r="D18" s="311">
        <f t="shared" si="9"/>
        <v>0</v>
      </c>
      <c r="E18" s="311">
        <f t="shared" si="9"/>
        <v>0</v>
      </c>
      <c r="F18" s="311">
        <f t="shared" si="9"/>
        <v>2500</v>
      </c>
      <c r="G18" s="463">
        <f t="shared" si="1"/>
        <v>-2500</v>
      </c>
      <c r="H18" s="219"/>
      <c r="I18" s="314"/>
      <c r="J18" s="219"/>
      <c r="K18" s="225">
        <v>0</v>
      </c>
      <c r="L18" s="225">
        <f>L19</f>
        <v>1500</v>
      </c>
      <c r="M18" s="225">
        <v>0</v>
      </c>
      <c r="N18" s="225">
        <v>0</v>
      </c>
      <c r="O18" s="225">
        <v>0</v>
      </c>
      <c r="P18" s="225">
        <v>0</v>
      </c>
      <c r="Q18" s="225">
        <f>Q19</f>
        <v>1000</v>
      </c>
      <c r="R18" s="225">
        <v>0</v>
      </c>
      <c r="S18" s="225">
        <v>0</v>
      </c>
      <c r="T18" s="225">
        <v>0</v>
      </c>
      <c r="U18" s="225">
        <v>0</v>
      </c>
      <c r="V18" s="225">
        <v>0</v>
      </c>
      <c r="W18" s="405"/>
      <c r="X18" s="225">
        <f>X19</f>
        <v>2500</v>
      </c>
    </row>
    <row r="19" spans="1:24" ht="15.75" customHeight="1">
      <c r="A19" s="129"/>
      <c r="B19" s="129" t="s">
        <v>435</v>
      </c>
      <c r="C19" s="320">
        <v>5000</v>
      </c>
      <c r="D19" s="351">
        <v>0</v>
      </c>
      <c r="E19" s="351">
        <v>0</v>
      </c>
      <c r="F19" s="351">
        <v>2500</v>
      </c>
      <c r="G19" s="351">
        <f t="shared" si="1"/>
        <v>-2500</v>
      </c>
      <c r="H19" s="211"/>
      <c r="I19" s="390" t="s">
        <v>436</v>
      </c>
      <c r="J19" s="211"/>
      <c r="K19" s="373"/>
      <c r="L19" s="319">
        <v>1500</v>
      </c>
      <c r="M19" s="376"/>
      <c r="N19" s="376"/>
      <c r="O19" s="376"/>
      <c r="P19" s="376"/>
      <c r="Q19" s="319">
        <v>1000</v>
      </c>
      <c r="R19" s="376"/>
      <c r="S19" s="376"/>
      <c r="T19" s="376"/>
      <c r="U19" s="376"/>
      <c r="V19" s="376"/>
      <c r="W19" s="393"/>
      <c r="X19" s="212">
        <f>SUM(K19:V19)</f>
        <v>2500</v>
      </c>
    </row>
    <row r="20" spans="1:24" ht="15.75" customHeight="1">
      <c r="A20" s="128" t="s">
        <v>437</v>
      </c>
      <c r="B20" s="128"/>
      <c r="C20" s="384">
        <f t="shared" ref="C20:F20" si="10">C8+C11+C14+C18</f>
        <v>23000</v>
      </c>
      <c r="D20" s="354">
        <f t="shared" si="10"/>
        <v>5892.4699999999993</v>
      </c>
      <c r="E20" s="354">
        <f t="shared" si="10"/>
        <v>6800</v>
      </c>
      <c r="F20" s="354">
        <f t="shared" si="10"/>
        <v>29400</v>
      </c>
      <c r="G20" s="354">
        <f t="shared" si="1"/>
        <v>6400</v>
      </c>
      <c r="H20" s="219"/>
      <c r="I20" s="354"/>
      <c r="J20" s="219"/>
      <c r="K20" s="323">
        <f t="shared" ref="K20:R20" si="11">K11+K18+K14</f>
        <v>2200</v>
      </c>
      <c r="L20" s="323">
        <f t="shared" si="11"/>
        <v>3900</v>
      </c>
      <c r="M20" s="323">
        <f t="shared" si="11"/>
        <v>600</v>
      </c>
      <c r="N20" s="323">
        <f t="shared" si="11"/>
        <v>500</v>
      </c>
      <c r="O20" s="323">
        <f t="shared" si="11"/>
        <v>800</v>
      </c>
      <c r="P20" s="323">
        <f t="shared" si="11"/>
        <v>400</v>
      </c>
      <c r="Q20" s="323">
        <f t="shared" si="11"/>
        <v>2400</v>
      </c>
      <c r="R20" s="323">
        <f t="shared" si="11"/>
        <v>500</v>
      </c>
      <c r="S20" s="354">
        <f>S8+S11+S14+S18</f>
        <v>2300</v>
      </c>
      <c r="T20" s="323">
        <f t="shared" ref="T20:V20" si="12">T11+T18+T14</f>
        <v>1400</v>
      </c>
      <c r="U20" s="323">
        <f t="shared" si="12"/>
        <v>0</v>
      </c>
      <c r="V20" s="323">
        <f t="shared" si="12"/>
        <v>0</v>
      </c>
      <c r="W20" s="394"/>
      <c r="X20" s="464">
        <f>X8+X11+X14+X18</f>
        <v>29400</v>
      </c>
    </row>
    <row r="21" spans="1:24" ht="15.75" customHeight="1">
      <c r="A21" s="129"/>
      <c r="B21" s="129"/>
      <c r="C21" s="129"/>
      <c r="D21" s="196"/>
      <c r="E21" s="196"/>
      <c r="F21" s="196"/>
      <c r="G21" s="196"/>
      <c r="H21" s="196"/>
      <c r="I21" s="196"/>
      <c r="J21" s="196"/>
      <c r="K21" s="196"/>
      <c r="L21" s="196"/>
      <c r="M21" s="196"/>
      <c r="N21" s="196"/>
      <c r="O21" s="196"/>
      <c r="P21" s="196"/>
      <c r="Q21" s="196"/>
      <c r="R21" s="196"/>
      <c r="S21" s="196"/>
      <c r="T21" s="196"/>
      <c r="U21" s="196"/>
      <c r="V21" s="196"/>
      <c r="W21" s="196"/>
      <c r="X21" s="196"/>
    </row>
    <row r="22" spans="1:24" ht="15.75" hidden="1" customHeight="1">
      <c r="A22" s="276" t="s">
        <v>291</v>
      </c>
      <c r="B22" s="129"/>
      <c r="C22" s="129"/>
      <c r="D22" s="277"/>
      <c r="E22" s="277"/>
      <c r="F22" s="277"/>
      <c r="G22" s="277"/>
      <c r="H22" s="277"/>
      <c r="I22" s="277"/>
      <c r="J22" s="277"/>
      <c r="K22" s="278">
        <f>K5-K20</f>
        <v>-2200</v>
      </c>
      <c r="L22" s="278"/>
      <c r="M22" s="278">
        <f>M5-M20</f>
        <v>-600</v>
      </c>
      <c r="N22" s="278"/>
      <c r="O22" s="278">
        <f>O5-O20</f>
        <v>-800</v>
      </c>
      <c r="P22" s="278"/>
      <c r="Q22" s="278">
        <f>Q5-Q20</f>
        <v>-2400</v>
      </c>
      <c r="R22" s="278"/>
      <c r="S22" s="278">
        <f>S5-S20</f>
        <v>-2300</v>
      </c>
      <c r="T22" s="278"/>
      <c r="U22" s="278">
        <f>U5-U20</f>
        <v>0</v>
      </c>
      <c r="V22" s="278"/>
      <c r="W22" s="278">
        <f t="shared" ref="W22:X22" si="13">W5-W20</f>
        <v>0</v>
      </c>
      <c r="X22" s="278">
        <f t="shared" si="13"/>
        <v>-29400</v>
      </c>
    </row>
    <row r="23" spans="1:24" ht="15.75" hidden="1" customHeight="1">
      <c r="A23" s="128"/>
      <c r="B23" s="129"/>
      <c r="C23" s="129"/>
      <c r="D23" s="129"/>
      <c r="E23" s="129"/>
      <c r="F23" s="129"/>
      <c r="G23" s="129"/>
      <c r="H23" s="129"/>
      <c r="I23" s="129"/>
      <c r="J23" s="129"/>
      <c r="K23" s="129"/>
      <c r="L23" s="129"/>
      <c r="M23" s="129"/>
      <c r="N23" s="129"/>
      <c r="O23" s="129"/>
      <c r="P23" s="129"/>
      <c r="Q23" s="129"/>
      <c r="R23" s="129"/>
      <c r="S23" s="129"/>
      <c r="T23" s="129"/>
      <c r="U23" s="129"/>
      <c r="V23" s="129"/>
      <c r="W23" s="129"/>
      <c r="X23" s="129"/>
    </row>
    <row r="24" spans="1:24" ht="15.75" hidden="1" customHeight="1">
      <c r="D24" s="289"/>
      <c r="E24" s="289"/>
      <c r="F24" s="289"/>
      <c r="G24" s="289"/>
      <c r="H24" s="289"/>
      <c r="I24" s="289"/>
      <c r="J24" s="289"/>
      <c r="K24" s="465"/>
      <c r="L24" s="465"/>
      <c r="M24" s="465"/>
      <c r="N24" s="465"/>
      <c r="O24" s="465"/>
      <c r="P24" s="465"/>
      <c r="Q24" s="465"/>
      <c r="R24" s="465"/>
      <c r="S24" s="465"/>
      <c r="T24" s="465"/>
      <c r="U24" s="465"/>
      <c r="V24" s="465"/>
      <c r="W24" s="465"/>
      <c r="X24" s="465"/>
    </row>
    <row r="25" spans="1:24" ht="15.75" hidden="1" customHeight="1">
      <c r="D25" s="289"/>
      <c r="E25" s="289"/>
      <c r="F25" s="289"/>
      <c r="G25" s="289"/>
      <c r="H25" s="289"/>
      <c r="I25" s="289"/>
      <c r="J25" s="289"/>
      <c r="K25" s="465"/>
      <c r="L25" s="465"/>
      <c r="M25" s="465"/>
      <c r="N25" s="465"/>
      <c r="O25" s="465"/>
      <c r="P25" s="465"/>
      <c r="Q25" s="465"/>
      <c r="R25" s="465"/>
      <c r="S25" s="465"/>
      <c r="T25" s="465"/>
      <c r="U25" s="465"/>
      <c r="V25" s="465"/>
      <c r="W25" s="465"/>
      <c r="X25" s="465"/>
    </row>
    <row r="26" spans="1:24" ht="15.75" hidden="1" customHeight="1">
      <c r="D26" s="289"/>
      <c r="E26" s="289"/>
      <c r="F26" s="289"/>
      <c r="G26" s="289"/>
      <c r="H26" s="289"/>
      <c r="I26" s="289"/>
      <c r="J26" s="289"/>
      <c r="K26" s="465"/>
      <c r="L26" s="465"/>
      <c r="M26" s="465"/>
      <c r="N26" s="465"/>
      <c r="O26" s="465"/>
      <c r="P26" s="465"/>
      <c r="Q26" s="465"/>
      <c r="R26" s="465"/>
      <c r="S26" s="465"/>
      <c r="T26" s="465"/>
      <c r="U26" s="465"/>
      <c r="V26" s="465"/>
      <c r="W26" s="465"/>
      <c r="X26" s="465"/>
    </row>
    <row r="27" spans="1:24" ht="15.75" hidden="1" customHeight="1">
      <c r="D27" s="289"/>
      <c r="E27" s="289"/>
      <c r="F27" s="289"/>
      <c r="G27" s="289"/>
      <c r="H27" s="289"/>
      <c r="I27" s="289"/>
      <c r="J27" s="289"/>
      <c r="K27" s="465"/>
      <c r="L27" s="465"/>
      <c r="M27" s="465"/>
      <c r="N27" s="465"/>
      <c r="O27" s="465"/>
      <c r="P27" s="465"/>
      <c r="Q27" s="465"/>
      <c r="R27" s="465"/>
      <c r="S27" s="465"/>
      <c r="T27" s="465"/>
      <c r="U27" s="465"/>
      <c r="V27" s="465"/>
      <c r="W27" s="465"/>
      <c r="X27" s="465"/>
    </row>
    <row r="28" spans="1:24" ht="15.75" customHeight="1">
      <c r="D28" s="289"/>
      <c r="E28" s="289"/>
      <c r="F28" s="289"/>
      <c r="G28" s="289"/>
      <c r="H28" s="289"/>
      <c r="I28" s="289"/>
      <c r="J28" s="289"/>
      <c r="K28" s="465"/>
      <c r="L28" s="465"/>
      <c r="M28" s="465"/>
      <c r="N28" s="465"/>
      <c r="O28" s="465"/>
      <c r="P28" s="465"/>
      <c r="Q28" s="465"/>
      <c r="R28" s="465"/>
      <c r="S28" s="465"/>
      <c r="T28" s="465"/>
      <c r="U28" s="465"/>
      <c r="V28" s="465"/>
      <c r="W28" s="465"/>
      <c r="X28" s="465"/>
    </row>
    <row r="29" spans="1:24" ht="15.75" customHeight="1">
      <c r="D29" s="289"/>
      <c r="E29" s="289"/>
      <c r="F29" s="289"/>
      <c r="G29" s="289"/>
      <c r="H29" s="289"/>
      <c r="I29" s="289"/>
      <c r="J29" s="289"/>
      <c r="K29" s="465"/>
      <c r="L29" s="465"/>
      <c r="M29" s="465"/>
      <c r="N29" s="465"/>
      <c r="O29" s="465"/>
      <c r="P29" s="465"/>
      <c r="Q29" s="465"/>
      <c r="R29" s="465"/>
      <c r="S29" s="465"/>
      <c r="T29" s="465"/>
      <c r="U29" s="465"/>
      <c r="V29" s="465"/>
      <c r="W29" s="465"/>
      <c r="X29" s="465"/>
    </row>
    <row r="30" spans="1:24" ht="15.75" customHeight="1">
      <c r="D30" s="289"/>
      <c r="E30" s="289"/>
      <c r="F30" s="289"/>
      <c r="G30" s="289"/>
      <c r="H30" s="289"/>
      <c r="I30" s="289"/>
      <c r="J30" s="289"/>
      <c r="K30" s="289"/>
      <c r="L30" s="289"/>
      <c r="M30" s="289"/>
      <c r="N30" s="289"/>
      <c r="O30" s="289"/>
      <c r="P30" s="289"/>
      <c r="Q30" s="289"/>
      <c r="R30" s="289"/>
      <c r="S30" s="289"/>
      <c r="T30" s="289"/>
      <c r="U30" s="289"/>
      <c r="V30" s="289"/>
      <c r="W30" s="289"/>
      <c r="X30" s="289"/>
    </row>
    <row r="31" spans="1:24" ht="15.75" customHeight="1">
      <c r="D31" s="289"/>
      <c r="E31" s="289"/>
      <c r="F31" s="289"/>
      <c r="G31" s="289"/>
      <c r="H31" s="289"/>
      <c r="I31" s="289"/>
      <c r="J31" s="289"/>
      <c r="K31" s="289"/>
      <c r="L31" s="289"/>
      <c r="M31" s="289"/>
      <c r="N31" s="289"/>
      <c r="O31" s="289"/>
      <c r="P31" s="289"/>
      <c r="Q31" s="289"/>
      <c r="R31" s="289"/>
      <c r="S31" s="289"/>
      <c r="T31" s="289"/>
      <c r="U31" s="289"/>
      <c r="V31" s="289"/>
      <c r="W31" s="289"/>
      <c r="X31" s="289"/>
    </row>
    <row r="32" spans="1:24" ht="15.75" customHeight="1">
      <c r="D32" s="289"/>
      <c r="E32" s="289"/>
      <c r="F32" s="289"/>
      <c r="G32" s="289"/>
      <c r="H32" s="289"/>
      <c r="I32" s="289"/>
      <c r="J32" s="289"/>
      <c r="K32" s="289"/>
      <c r="L32" s="289"/>
      <c r="M32" s="289"/>
      <c r="N32" s="289"/>
      <c r="O32" s="289"/>
      <c r="P32" s="289"/>
      <c r="Q32" s="289"/>
      <c r="R32" s="289"/>
      <c r="S32" s="289"/>
      <c r="T32" s="289"/>
      <c r="U32" s="289"/>
      <c r="V32" s="289"/>
      <c r="W32" s="289"/>
      <c r="X32" s="289"/>
    </row>
    <row r="33" spans="4:24" ht="15.75" customHeight="1">
      <c r="D33" s="289"/>
      <c r="E33" s="289"/>
      <c r="F33" s="289"/>
      <c r="G33" s="289"/>
      <c r="H33" s="289"/>
      <c r="I33" s="289"/>
      <c r="J33" s="289"/>
      <c r="K33" s="289"/>
      <c r="L33" s="289"/>
      <c r="M33" s="289"/>
      <c r="N33" s="289"/>
      <c r="O33" s="289"/>
      <c r="P33" s="289"/>
      <c r="Q33" s="289"/>
      <c r="R33" s="289"/>
      <c r="S33" s="289"/>
      <c r="T33" s="289"/>
      <c r="U33" s="289"/>
      <c r="V33" s="289"/>
      <c r="W33" s="289"/>
      <c r="X33" s="289"/>
    </row>
    <row r="34" spans="4:24" ht="15.75" customHeight="1">
      <c r="D34" s="289"/>
      <c r="E34" s="289"/>
      <c r="F34" s="289"/>
      <c r="G34" s="289"/>
      <c r="H34" s="289"/>
      <c r="I34" s="289"/>
      <c r="J34" s="289"/>
      <c r="K34" s="289"/>
      <c r="L34" s="289"/>
      <c r="M34" s="289"/>
      <c r="N34" s="289"/>
      <c r="O34" s="289"/>
      <c r="P34" s="289"/>
      <c r="Q34" s="289"/>
      <c r="R34" s="289"/>
      <c r="S34" s="289"/>
      <c r="T34" s="289"/>
      <c r="U34" s="289"/>
      <c r="V34" s="289"/>
      <c r="W34" s="289"/>
      <c r="X34" s="289"/>
    </row>
    <row r="35" spans="4:24" ht="15.75" customHeight="1">
      <c r="D35" s="289"/>
      <c r="E35" s="289"/>
      <c r="F35" s="289"/>
      <c r="G35" s="289"/>
      <c r="H35" s="289"/>
      <c r="I35" s="289"/>
      <c r="J35" s="289"/>
      <c r="K35" s="289"/>
      <c r="L35" s="289"/>
      <c r="M35" s="289"/>
      <c r="N35" s="289"/>
      <c r="O35" s="289"/>
      <c r="P35" s="289"/>
      <c r="Q35" s="289"/>
      <c r="R35" s="289"/>
      <c r="S35" s="289"/>
      <c r="T35" s="289"/>
      <c r="U35" s="289"/>
      <c r="V35" s="289"/>
      <c r="W35" s="289"/>
      <c r="X35" s="289"/>
    </row>
    <row r="36" spans="4:24" ht="15.75" customHeight="1">
      <c r="D36" s="289"/>
      <c r="E36" s="289"/>
      <c r="F36" s="289"/>
      <c r="G36" s="289"/>
      <c r="H36" s="289"/>
      <c r="I36" s="289"/>
      <c r="J36" s="289"/>
      <c r="K36" s="289"/>
      <c r="L36" s="289"/>
      <c r="M36" s="289"/>
      <c r="N36" s="289"/>
      <c r="O36" s="289"/>
      <c r="P36" s="289"/>
      <c r="Q36" s="289"/>
      <c r="R36" s="289"/>
      <c r="S36" s="289"/>
      <c r="T36" s="289"/>
      <c r="U36" s="289"/>
      <c r="V36" s="289"/>
      <c r="W36" s="289"/>
      <c r="X36" s="289"/>
    </row>
    <row r="37" spans="4:24" ht="15.75" customHeight="1">
      <c r="D37" s="289"/>
      <c r="E37" s="289"/>
      <c r="F37" s="289"/>
      <c r="G37" s="289"/>
      <c r="H37" s="289"/>
      <c r="I37" s="289"/>
      <c r="J37" s="289"/>
      <c r="K37" s="289"/>
      <c r="L37" s="289"/>
      <c r="M37" s="289"/>
      <c r="N37" s="289"/>
      <c r="O37" s="289"/>
      <c r="P37" s="289"/>
      <c r="Q37" s="289"/>
      <c r="R37" s="289"/>
      <c r="S37" s="289"/>
      <c r="T37" s="289"/>
      <c r="U37" s="289"/>
      <c r="V37" s="289"/>
      <c r="W37" s="289"/>
      <c r="X37" s="289"/>
    </row>
    <row r="38" spans="4:24" ht="15.75" customHeight="1">
      <c r="D38" s="289"/>
      <c r="E38" s="289"/>
      <c r="F38" s="289"/>
      <c r="G38" s="289"/>
      <c r="H38" s="289"/>
      <c r="I38" s="289"/>
      <c r="J38" s="289"/>
      <c r="K38" s="289"/>
      <c r="L38" s="289"/>
      <c r="M38" s="289"/>
      <c r="N38" s="289"/>
      <c r="O38" s="289"/>
      <c r="P38" s="289"/>
      <c r="Q38" s="289"/>
      <c r="R38" s="289"/>
      <c r="S38" s="289"/>
      <c r="T38" s="289"/>
      <c r="U38" s="289"/>
      <c r="V38" s="289"/>
      <c r="W38" s="289"/>
      <c r="X38" s="289"/>
    </row>
    <row r="39" spans="4:24" ht="15.75" customHeight="1">
      <c r="D39" s="289"/>
      <c r="E39" s="289"/>
      <c r="F39" s="289"/>
      <c r="G39" s="289"/>
      <c r="H39" s="289"/>
      <c r="I39" s="289"/>
      <c r="J39" s="289"/>
      <c r="K39" s="289"/>
      <c r="L39" s="289"/>
      <c r="M39" s="289"/>
      <c r="N39" s="289"/>
      <c r="O39" s="289"/>
      <c r="P39" s="289"/>
      <c r="Q39" s="289"/>
      <c r="R39" s="289"/>
      <c r="S39" s="289"/>
      <c r="T39" s="289"/>
      <c r="U39" s="289"/>
      <c r="V39" s="289"/>
      <c r="W39" s="289"/>
      <c r="X39" s="289"/>
    </row>
    <row r="40" spans="4:24" ht="15.75" customHeight="1">
      <c r="D40" s="289"/>
      <c r="E40" s="289"/>
      <c r="F40" s="289"/>
      <c r="G40" s="289"/>
      <c r="H40" s="289"/>
      <c r="I40" s="289"/>
      <c r="J40" s="289"/>
      <c r="K40" s="289"/>
      <c r="L40" s="289"/>
      <c r="M40" s="289"/>
      <c r="N40" s="289"/>
      <c r="O40" s="289"/>
      <c r="P40" s="289"/>
      <c r="Q40" s="289"/>
      <c r="R40" s="289"/>
      <c r="S40" s="289"/>
      <c r="T40" s="289"/>
      <c r="U40" s="289"/>
      <c r="V40" s="289"/>
      <c r="W40" s="289"/>
      <c r="X40" s="289"/>
    </row>
    <row r="41" spans="4:24" ht="15.75" customHeight="1">
      <c r="D41" s="289"/>
      <c r="E41" s="289"/>
      <c r="F41" s="289"/>
      <c r="G41" s="289"/>
      <c r="H41" s="289"/>
      <c r="I41" s="289"/>
      <c r="J41" s="289"/>
      <c r="K41" s="289"/>
      <c r="L41" s="289"/>
      <c r="M41" s="289"/>
      <c r="N41" s="289"/>
      <c r="O41" s="289"/>
      <c r="P41" s="289"/>
      <c r="Q41" s="289"/>
      <c r="R41" s="289"/>
      <c r="S41" s="289"/>
      <c r="T41" s="289"/>
      <c r="U41" s="289"/>
      <c r="V41" s="289"/>
      <c r="W41" s="289"/>
      <c r="X41" s="289"/>
    </row>
    <row r="42" spans="4:24" ht="15.75" customHeight="1">
      <c r="D42" s="289"/>
      <c r="E42" s="289"/>
      <c r="F42" s="289"/>
      <c r="G42" s="289"/>
      <c r="H42" s="289"/>
      <c r="I42" s="289"/>
      <c r="J42" s="289"/>
      <c r="K42" s="289"/>
      <c r="L42" s="289"/>
      <c r="M42" s="289"/>
      <c r="N42" s="289"/>
      <c r="O42" s="289"/>
      <c r="P42" s="289"/>
      <c r="Q42" s="289"/>
      <c r="R42" s="289"/>
      <c r="S42" s="289"/>
      <c r="T42" s="289"/>
      <c r="U42" s="289"/>
      <c r="V42" s="289"/>
      <c r="W42" s="289"/>
      <c r="X42" s="289"/>
    </row>
    <row r="43" spans="4:24" ht="15.75" customHeight="1">
      <c r="D43" s="289"/>
      <c r="E43" s="289"/>
      <c r="F43" s="289"/>
      <c r="G43" s="289"/>
      <c r="H43" s="289"/>
      <c r="I43" s="289"/>
      <c r="J43" s="289"/>
      <c r="K43" s="289"/>
      <c r="L43" s="289"/>
      <c r="M43" s="289"/>
      <c r="N43" s="289"/>
      <c r="O43" s="289"/>
      <c r="P43" s="289"/>
      <c r="Q43" s="289"/>
      <c r="R43" s="289"/>
      <c r="S43" s="289"/>
      <c r="T43" s="289"/>
      <c r="U43" s="289"/>
      <c r="V43" s="289"/>
      <c r="W43" s="289"/>
      <c r="X43" s="289"/>
    </row>
    <row r="44" spans="4:24" ht="15.75" customHeight="1">
      <c r="D44" s="289"/>
      <c r="E44" s="289"/>
      <c r="F44" s="289"/>
      <c r="G44" s="289"/>
      <c r="H44" s="289"/>
      <c r="I44" s="289"/>
      <c r="J44" s="289"/>
      <c r="K44" s="289"/>
      <c r="L44" s="289"/>
      <c r="M44" s="289"/>
      <c r="N44" s="289"/>
      <c r="O44" s="289"/>
      <c r="P44" s="289"/>
      <c r="Q44" s="289"/>
      <c r="R44" s="289"/>
      <c r="S44" s="289"/>
      <c r="T44" s="289"/>
      <c r="U44" s="289"/>
      <c r="V44" s="289"/>
      <c r="W44" s="289"/>
      <c r="X44" s="289"/>
    </row>
    <row r="45" spans="4:24" ht="15.75" customHeight="1">
      <c r="D45" s="289"/>
      <c r="E45" s="289"/>
      <c r="F45" s="289"/>
      <c r="G45" s="289"/>
      <c r="H45" s="289"/>
      <c r="I45" s="289"/>
      <c r="J45" s="289"/>
      <c r="K45" s="289"/>
      <c r="L45" s="289"/>
      <c r="M45" s="289"/>
      <c r="N45" s="289"/>
      <c r="O45" s="289"/>
      <c r="P45" s="289"/>
      <c r="Q45" s="289"/>
      <c r="R45" s="289"/>
      <c r="S45" s="289"/>
      <c r="T45" s="289"/>
      <c r="U45" s="289"/>
      <c r="V45" s="289"/>
      <c r="W45" s="289"/>
      <c r="X45" s="289"/>
    </row>
    <row r="46" spans="4:24" ht="15.75" customHeight="1">
      <c r="D46" s="289"/>
      <c r="E46" s="289"/>
      <c r="F46" s="289"/>
      <c r="G46" s="289"/>
      <c r="H46" s="289"/>
      <c r="I46" s="289"/>
      <c r="J46" s="289"/>
      <c r="K46" s="289"/>
      <c r="L46" s="289"/>
      <c r="M46" s="289"/>
      <c r="N46" s="289"/>
      <c r="O46" s="289"/>
      <c r="P46" s="289"/>
      <c r="Q46" s="289"/>
      <c r="R46" s="289"/>
      <c r="S46" s="289"/>
      <c r="T46" s="289"/>
      <c r="U46" s="289"/>
      <c r="V46" s="289"/>
      <c r="W46" s="289"/>
      <c r="X46" s="289"/>
    </row>
    <row r="47" spans="4:24" ht="15.75" customHeight="1">
      <c r="D47" s="289"/>
      <c r="E47" s="289"/>
      <c r="F47" s="289"/>
      <c r="G47" s="289"/>
      <c r="H47" s="289"/>
      <c r="I47" s="289"/>
      <c r="J47" s="289"/>
      <c r="K47" s="289"/>
      <c r="L47" s="289"/>
      <c r="M47" s="289"/>
      <c r="N47" s="289"/>
      <c r="O47" s="289"/>
      <c r="P47" s="289"/>
      <c r="Q47" s="289"/>
      <c r="R47" s="289"/>
      <c r="S47" s="289"/>
      <c r="T47" s="289"/>
      <c r="U47" s="289"/>
      <c r="V47" s="289"/>
      <c r="W47" s="289"/>
      <c r="X47" s="289"/>
    </row>
    <row r="48" spans="4:24" ht="15.75" customHeight="1">
      <c r="D48" s="289"/>
      <c r="E48" s="289"/>
      <c r="F48" s="289"/>
      <c r="G48" s="289"/>
      <c r="H48" s="289"/>
      <c r="I48" s="289"/>
      <c r="J48" s="289"/>
      <c r="K48" s="289"/>
      <c r="L48" s="289"/>
      <c r="M48" s="289"/>
      <c r="N48" s="289"/>
      <c r="O48" s="289"/>
      <c r="P48" s="289"/>
      <c r="Q48" s="289"/>
      <c r="R48" s="289"/>
      <c r="S48" s="289"/>
      <c r="T48" s="289"/>
      <c r="U48" s="289"/>
      <c r="V48" s="289"/>
      <c r="W48" s="289"/>
      <c r="X48" s="289"/>
    </row>
    <row r="49" spans="4:24" ht="15.75" customHeight="1">
      <c r="D49" s="289"/>
      <c r="E49" s="289"/>
      <c r="F49" s="289"/>
      <c r="G49" s="289"/>
      <c r="H49" s="289"/>
      <c r="I49" s="289"/>
      <c r="J49" s="289"/>
      <c r="K49" s="289"/>
      <c r="L49" s="289"/>
      <c r="M49" s="289"/>
      <c r="N49" s="289"/>
      <c r="O49" s="289"/>
      <c r="P49" s="289"/>
      <c r="Q49" s="289"/>
      <c r="R49" s="289"/>
      <c r="S49" s="289"/>
      <c r="T49" s="289"/>
      <c r="U49" s="289"/>
      <c r="V49" s="289"/>
      <c r="W49" s="289"/>
      <c r="X49" s="289"/>
    </row>
    <row r="50" spans="4:24" ht="15.75" customHeight="1">
      <c r="D50" s="289"/>
      <c r="E50" s="289"/>
      <c r="F50" s="289"/>
      <c r="G50" s="289"/>
      <c r="H50" s="289"/>
      <c r="I50" s="289"/>
      <c r="J50" s="289"/>
      <c r="K50" s="289"/>
      <c r="L50" s="289"/>
      <c r="M50" s="289"/>
      <c r="N50" s="289"/>
      <c r="O50" s="289"/>
      <c r="P50" s="289"/>
      <c r="Q50" s="289"/>
      <c r="R50" s="289"/>
      <c r="S50" s="289"/>
      <c r="T50" s="289"/>
      <c r="U50" s="289"/>
      <c r="V50" s="289"/>
      <c r="W50" s="289"/>
      <c r="X50" s="289"/>
    </row>
    <row r="51" spans="4:24" ht="15.75" customHeight="1">
      <c r="D51" s="289"/>
      <c r="E51" s="289"/>
      <c r="F51" s="289"/>
      <c r="G51" s="289"/>
      <c r="H51" s="289"/>
      <c r="I51" s="289"/>
      <c r="J51" s="289"/>
      <c r="K51" s="289"/>
      <c r="L51" s="289"/>
      <c r="M51" s="289"/>
      <c r="N51" s="289"/>
      <c r="O51" s="289"/>
      <c r="P51" s="289"/>
      <c r="Q51" s="289"/>
      <c r="R51" s="289"/>
      <c r="S51" s="289"/>
      <c r="T51" s="289"/>
      <c r="U51" s="289"/>
      <c r="V51" s="289"/>
      <c r="W51" s="289"/>
      <c r="X51" s="289"/>
    </row>
    <row r="52" spans="4:24" ht="15.75" customHeight="1">
      <c r="D52" s="289"/>
      <c r="E52" s="289"/>
      <c r="F52" s="289"/>
      <c r="G52" s="289"/>
      <c r="H52" s="289"/>
      <c r="I52" s="289"/>
      <c r="J52" s="289"/>
      <c r="K52" s="289"/>
      <c r="L52" s="289"/>
      <c r="M52" s="289"/>
      <c r="N52" s="289"/>
      <c r="O52" s="289"/>
      <c r="P52" s="289"/>
      <c r="Q52" s="289"/>
      <c r="R52" s="289"/>
      <c r="S52" s="289"/>
      <c r="T52" s="289"/>
      <c r="U52" s="289"/>
      <c r="V52" s="289"/>
      <c r="W52" s="289"/>
      <c r="X52" s="289"/>
    </row>
    <row r="53" spans="4:24" ht="15.75" customHeight="1">
      <c r="D53" s="289"/>
      <c r="E53" s="289"/>
      <c r="F53" s="289"/>
      <c r="G53" s="289"/>
      <c r="H53" s="289"/>
      <c r="I53" s="289"/>
      <c r="J53" s="289"/>
      <c r="K53" s="289"/>
      <c r="L53" s="289"/>
      <c r="M53" s="289"/>
      <c r="N53" s="289"/>
      <c r="O53" s="289"/>
      <c r="P53" s="289"/>
      <c r="Q53" s="289"/>
      <c r="R53" s="289"/>
      <c r="S53" s="289"/>
      <c r="T53" s="289"/>
      <c r="U53" s="289"/>
      <c r="V53" s="289"/>
      <c r="W53" s="289"/>
      <c r="X53" s="289"/>
    </row>
    <row r="54" spans="4:24" ht="15.75" customHeight="1">
      <c r="D54" s="289"/>
      <c r="E54" s="289"/>
      <c r="F54" s="289"/>
      <c r="G54" s="289"/>
      <c r="H54" s="289"/>
      <c r="I54" s="289"/>
      <c r="J54" s="289"/>
      <c r="K54" s="289"/>
      <c r="L54" s="289"/>
      <c r="M54" s="289"/>
      <c r="N54" s="289"/>
      <c r="O54" s="289"/>
      <c r="P54" s="289"/>
      <c r="Q54" s="289"/>
      <c r="R54" s="289"/>
      <c r="S54" s="289"/>
      <c r="T54" s="289"/>
      <c r="U54" s="289"/>
      <c r="V54" s="289"/>
      <c r="W54" s="289"/>
      <c r="X54" s="289"/>
    </row>
    <row r="55" spans="4:24" ht="15.75" customHeight="1">
      <c r="D55" s="289"/>
      <c r="E55" s="289"/>
      <c r="F55" s="289"/>
      <c r="G55" s="289"/>
      <c r="H55" s="289"/>
      <c r="I55" s="289"/>
      <c r="J55" s="289"/>
      <c r="K55" s="289"/>
      <c r="L55" s="289"/>
      <c r="M55" s="289"/>
      <c r="N55" s="289"/>
      <c r="O55" s="289"/>
      <c r="P55" s="289"/>
      <c r="Q55" s="289"/>
      <c r="R55" s="289"/>
      <c r="S55" s="289"/>
      <c r="T55" s="289"/>
      <c r="U55" s="289"/>
      <c r="V55" s="289"/>
      <c r="W55" s="289"/>
      <c r="X55" s="289"/>
    </row>
    <row r="56" spans="4:24" ht="15.75" customHeight="1">
      <c r="D56" s="289"/>
      <c r="E56" s="289"/>
      <c r="F56" s="289"/>
      <c r="G56" s="289"/>
      <c r="H56" s="289"/>
      <c r="I56" s="289"/>
      <c r="J56" s="289"/>
      <c r="K56" s="289"/>
      <c r="L56" s="289"/>
      <c r="M56" s="289"/>
      <c r="N56" s="289"/>
      <c r="O56" s="289"/>
      <c r="P56" s="289"/>
      <c r="Q56" s="289"/>
      <c r="R56" s="289"/>
      <c r="S56" s="289"/>
      <c r="T56" s="289"/>
      <c r="U56" s="289"/>
      <c r="V56" s="289"/>
      <c r="W56" s="289"/>
      <c r="X56" s="289"/>
    </row>
    <row r="57" spans="4:24" ht="15.75" customHeight="1">
      <c r="D57" s="289"/>
      <c r="E57" s="289"/>
      <c r="F57" s="289"/>
      <c r="G57" s="289"/>
      <c r="H57" s="289"/>
      <c r="I57" s="289"/>
      <c r="J57" s="289"/>
      <c r="K57" s="289"/>
      <c r="L57" s="289"/>
      <c r="M57" s="289"/>
      <c r="N57" s="289"/>
      <c r="O57" s="289"/>
      <c r="P57" s="289"/>
      <c r="Q57" s="289"/>
      <c r="R57" s="289"/>
      <c r="S57" s="289"/>
      <c r="T57" s="289"/>
      <c r="U57" s="289"/>
      <c r="V57" s="289"/>
      <c r="W57" s="289"/>
      <c r="X57" s="289"/>
    </row>
    <row r="58" spans="4:24" ht="15.75" customHeight="1">
      <c r="D58" s="289"/>
      <c r="E58" s="289"/>
      <c r="F58" s="289"/>
      <c r="G58" s="289"/>
      <c r="H58" s="289"/>
      <c r="I58" s="289"/>
      <c r="J58" s="289"/>
      <c r="K58" s="289"/>
      <c r="L58" s="289"/>
      <c r="M58" s="289"/>
      <c r="N58" s="289"/>
      <c r="O58" s="289"/>
      <c r="P58" s="289"/>
      <c r="Q58" s="289"/>
      <c r="R58" s="289"/>
      <c r="S58" s="289"/>
      <c r="T58" s="289"/>
      <c r="U58" s="289"/>
      <c r="V58" s="289"/>
      <c r="W58" s="289"/>
      <c r="X58" s="289"/>
    </row>
    <row r="59" spans="4:24" ht="15.75" customHeight="1">
      <c r="D59" s="289"/>
      <c r="E59" s="289"/>
      <c r="F59" s="289"/>
      <c r="G59" s="289"/>
      <c r="H59" s="289"/>
      <c r="I59" s="289"/>
      <c r="J59" s="289"/>
      <c r="K59" s="289"/>
      <c r="L59" s="289"/>
      <c r="M59" s="289"/>
      <c r="N59" s="289"/>
      <c r="O59" s="289"/>
      <c r="P59" s="289"/>
      <c r="Q59" s="289"/>
      <c r="R59" s="289"/>
      <c r="S59" s="289"/>
      <c r="T59" s="289"/>
      <c r="U59" s="289"/>
      <c r="V59" s="289"/>
      <c r="W59" s="289"/>
      <c r="X59" s="289"/>
    </row>
    <row r="60" spans="4:24" ht="15.75" customHeight="1">
      <c r="D60" s="289"/>
      <c r="E60" s="289"/>
      <c r="F60" s="289"/>
      <c r="G60" s="289"/>
      <c r="H60" s="289"/>
      <c r="I60" s="289"/>
      <c r="J60" s="289"/>
      <c r="K60" s="289"/>
      <c r="L60" s="289"/>
      <c r="M60" s="289"/>
      <c r="N60" s="289"/>
      <c r="O60" s="289"/>
      <c r="P60" s="289"/>
      <c r="Q60" s="289"/>
      <c r="R60" s="289"/>
      <c r="S60" s="289"/>
      <c r="T60" s="289"/>
      <c r="U60" s="289"/>
      <c r="V60" s="289"/>
      <c r="W60" s="289"/>
      <c r="X60" s="289"/>
    </row>
    <row r="61" spans="4:24" ht="15.75" customHeight="1">
      <c r="D61" s="289"/>
      <c r="E61" s="289"/>
      <c r="F61" s="289"/>
      <c r="G61" s="289"/>
      <c r="H61" s="289"/>
      <c r="I61" s="289"/>
      <c r="J61" s="289"/>
      <c r="K61" s="289"/>
      <c r="L61" s="289"/>
      <c r="M61" s="289"/>
      <c r="N61" s="289"/>
      <c r="O61" s="289"/>
      <c r="P61" s="289"/>
      <c r="Q61" s="289"/>
      <c r="R61" s="289"/>
      <c r="S61" s="289"/>
      <c r="T61" s="289"/>
      <c r="U61" s="289"/>
      <c r="V61" s="289"/>
      <c r="W61" s="289"/>
      <c r="X61" s="289"/>
    </row>
    <row r="62" spans="4:24" ht="15.75" customHeight="1">
      <c r="D62" s="289"/>
      <c r="E62" s="289"/>
      <c r="F62" s="289"/>
      <c r="G62" s="289"/>
      <c r="H62" s="289"/>
      <c r="I62" s="289"/>
      <c r="J62" s="289"/>
      <c r="K62" s="289"/>
      <c r="L62" s="289"/>
      <c r="M62" s="289"/>
      <c r="N62" s="289"/>
      <c r="O62" s="289"/>
      <c r="P62" s="289"/>
      <c r="Q62" s="289"/>
      <c r="R62" s="289"/>
      <c r="S62" s="289"/>
      <c r="T62" s="289"/>
      <c r="U62" s="289"/>
      <c r="V62" s="289"/>
      <c r="W62" s="289"/>
      <c r="X62" s="289"/>
    </row>
    <row r="63" spans="4:24" ht="15.75" customHeight="1">
      <c r="D63" s="289"/>
      <c r="E63" s="289"/>
      <c r="F63" s="289"/>
      <c r="G63" s="289"/>
      <c r="H63" s="289"/>
      <c r="I63" s="289"/>
      <c r="J63" s="289"/>
      <c r="K63" s="289"/>
      <c r="L63" s="289"/>
      <c r="M63" s="289"/>
      <c r="N63" s="289"/>
      <c r="O63" s="289"/>
      <c r="P63" s="289"/>
      <c r="Q63" s="289"/>
      <c r="R63" s="289"/>
      <c r="S63" s="289"/>
      <c r="T63" s="289"/>
      <c r="U63" s="289"/>
      <c r="V63" s="289"/>
      <c r="W63" s="289"/>
      <c r="X63" s="289"/>
    </row>
    <row r="64" spans="4:24" ht="15.75" customHeight="1">
      <c r="D64" s="289"/>
      <c r="E64" s="289"/>
      <c r="F64" s="289"/>
      <c r="G64" s="289"/>
      <c r="H64" s="289"/>
      <c r="I64" s="289"/>
      <c r="J64" s="289"/>
      <c r="K64" s="289"/>
      <c r="L64" s="289"/>
      <c r="M64" s="289"/>
      <c r="N64" s="289"/>
      <c r="O64" s="289"/>
      <c r="P64" s="289"/>
      <c r="Q64" s="289"/>
      <c r="R64" s="289"/>
      <c r="S64" s="289"/>
      <c r="T64" s="289"/>
      <c r="U64" s="289"/>
      <c r="V64" s="289"/>
      <c r="W64" s="289"/>
      <c r="X64" s="289"/>
    </row>
    <row r="65" spans="4:24" ht="15.75" customHeight="1">
      <c r="D65" s="289"/>
      <c r="E65" s="289"/>
      <c r="F65" s="289"/>
      <c r="G65" s="289"/>
      <c r="H65" s="289"/>
      <c r="I65" s="289"/>
      <c r="J65" s="289"/>
      <c r="K65" s="289"/>
      <c r="L65" s="289"/>
      <c r="M65" s="289"/>
      <c r="N65" s="289"/>
      <c r="O65" s="289"/>
      <c r="P65" s="289"/>
      <c r="Q65" s="289"/>
      <c r="R65" s="289"/>
      <c r="S65" s="289"/>
      <c r="T65" s="289"/>
      <c r="U65" s="289"/>
      <c r="V65" s="289"/>
      <c r="W65" s="289"/>
      <c r="X65" s="289"/>
    </row>
    <row r="66" spans="4:24" ht="15.75" customHeight="1">
      <c r="D66" s="289"/>
      <c r="E66" s="289"/>
      <c r="F66" s="289"/>
      <c r="G66" s="289"/>
      <c r="H66" s="289"/>
      <c r="I66" s="289"/>
      <c r="J66" s="289"/>
      <c r="K66" s="289"/>
      <c r="L66" s="289"/>
      <c r="M66" s="289"/>
      <c r="N66" s="289"/>
      <c r="O66" s="289"/>
      <c r="P66" s="289"/>
      <c r="Q66" s="289"/>
      <c r="R66" s="289"/>
      <c r="S66" s="289"/>
      <c r="T66" s="289"/>
      <c r="U66" s="289"/>
      <c r="V66" s="289"/>
      <c r="W66" s="289"/>
      <c r="X66" s="289"/>
    </row>
    <row r="67" spans="4:24" ht="15.75" customHeight="1">
      <c r="D67" s="289"/>
      <c r="E67" s="289"/>
      <c r="F67" s="289"/>
      <c r="G67" s="289"/>
      <c r="H67" s="289"/>
      <c r="I67" s="289"/>
      <c r="J67" s="289"/>
      <c r="K67" s="289"/>
      <c r="L67" s="289"/>
      <c r="M67" s="289"/>
      <c r="N67" s="289"/>
      <c r="O67" s="289"/>
      <c r="P67" s="289"/>
      <c r="Q67" s="289"/>
      <c r="R67" s="289"/>
      <c r="S67" s="289"/>
      <c r="T67" s="289"/>
      <c r="U67" s="289"/>
      <c r="V67" s="289"/>
      <c r="W67" s="289"/>
      <c r="X67" s="289"/>
    </row>
    <row r="68" spans="4:24" ht="15.75" customHeight="1">
      <c r="D68" s="289"/>
      <c r="E68" s="289"/>
      <c r="F68" s="289"/>
      <c r="G68" s="289"/>
      <c r="H68" s="289"/>
      <c r="I68" s="289"/>
      <c r="J68" s="289"/>
      <c r="K68" s="289"/>
      <c r="L68" s="289"/>
      <c r="M68" s="289"/>
      <c r="N68" s="289"/>
      <c r="O68" s="289"/>
      <c r="P68" s="289"/>
      <c r="Q68" s="289"/>
      <c r="R68" s="289"/>
      <c r="S68" s="289"/>
      <c r="T68" s="289"/>
      <c r="U68" s="289"/>
      <c r="V68" s="289"/>
      <c r="W68" s="289"/>
      <c r="X68" s="289"/>
    </row>
    <row r="69" spans="4:24" ht="15.75" customHeight="1">
      <c r="D69" s="289"/>
      <c r="E69" s="289"/>
      <c r="F69" s="289"/>
      <c r="G69" s="289"/>
      <c r="H69" s="289"/>
      <c r="I69" s="289"/>
      <c r="J69" s="289"/>
      <c r="K69" s="289"/>
      <c r="L69" s="289"/>
      <c r="M69" s="289"/>
      <c r="N69" s="289"/>
      <c r="O69" s="289"/>
      <c r="P69" s="289"/>
      <c r="Q69" s="289"/>
      <c r="R69" s="289"/>
      <c r="S69" s="289"/>
      <c r="T69" s="289"/>
      <c r="U69" s="289"/>
      <c r="V69" s="289"/>
      <c r="W69" s="289"/>
      <c r="X69" s="289"/>
    </row>
    <row r="70" spans="4:24" ht="15.75" customHeight="1">
      <c r="D70" s="289"/>
      <c r="E70" s="289"/>
      <c r="F70" s="289"/>
      <c r="G70" s="289"/>
      <c r="H70" s="289"/>
      <c r="I70" s="289"/>
      <c r="J70" s="289"/>
      <c r="K70" s="289"/>
      <c r="L70" s="289"/>
      <c r="M70" s="289"/>
      <c r="N70" s="289"/>
      <c r="O70" s="289"/>
      <c r="P70" s="289"/>
      <c r="Q70" s="289"/>
      <c r="R70" s="289"/>
      <c r="S70" s="289"/>
      <c r="T70" s="289"/>
      <c r="U70" s="289"/>
      <c r="V70" s="289"/>
      <c r="W70" s="289"/>
      <c r="X70" s="289"/>
    </row>
    <row r="71" spans="4:24" ht="15.75" customHeight="1">
      <c r="D71" s="289"/>
      <c r="E71" s="289"/>
      <c r="F71" s="289"/>
      <c r="G71" s="289"/>
      <c r="H71" s="289"/>
      <c r="I71" s="289"/>
      <c r="J71" s="289"/>
      <c r="K71" s="289"/>
      <c r="L71" s="289"/>
      <c r="M71" s="289"/>
      <c r="N71" s="289"/>
      <c r="O71" s="289"/>
      <c r="P71" s="289"/>
      <c r="Q71" s="289"/>
      <c r="R71" s="289"/>
      <c r="S71" s="289"/>
      <c r="T71" s="289"/>
      <c r="U71" s="289"/>
      <c r="V71" s="289"/>
      <c r="W71" s="289"/>
      <c r="X71" s="289"/>
    </row>
    <row r="72" spans="4:24" ht="15.75" customHeight="1">
      <c r="D72" s="289"/>
      <c r="E72" s="289"/>
      <c r="F72" s="289"/>
      <c r="G72" s="289"/>
      <c r="H72" s="289"/>
      <c r="I72" s="289"/>
      <c r="J72" s="289"/>
      <c r="K72" s="289"/>
      <c r="L72" s="289"/>
      <c r="M72" s="289"/>
      <c r="N72" s="289"/>
      <c r="O72" s="289"/>
      <c r="P72" s="289"/>
      <c r="Q72" s="289"/>
      <c r="R72" s="289"/>
      <c r="S72" s="289"/>
      <c r="T72" s="289"/>
      <c r="U72" s="289"/>
      <c r="V72" s="289"/>
      <c r="W72" s="289"/>
      <c r="X72" s="289"/>
    </row>
    <row r="73" spans="4:24" ht="15.75" customHeight="1">
      <c r="D73" s="289"/>
      <c r="E73" s="289"/>
      <c r="F73" s="289"/>
      <c r="G73" s="289"/>
      <c r="H73" s="289"/>
      <c r="I73" s="289"/>
      <c r="J73" s="289"/>
      <c r="K73" s="289"/>
      <c r="L73" s="289"/>
      <c r="M73" s="289"/>
      <c r="N73" s="289"/>
      <c r="O73" s="289"/>
      <c r="P73" s="289"/>
      <c r="Q73" s="289"/>
      <c r="R73" s="289"/>
      <c r="S73" s="289"/>
      <c r="T73" s="289"/>
      <c r="U73" s="289"/>
      <c r="V73" s="289"/>
      <c r="W73" s="289"/>
      <c r="X73" s="289"/>
    </row>
    <row r="74" spans="4:24" ht="15.75" customHeight="1">
      <c r="D74" s="289"/>
      <c r="E74" s="289"/>
      <c r="F74" s="289"/>
      <c r="G74" s="289"/>
      <c r="H74" s="289"/>
      <c r="I74" s="289"/>
      <c r="J74" s="289"/>
      <c r="K74" s="289"/>
      <c r="L74" s="289"/>
      <c r="M74" s="289"/>
      <c r="N74" s="289"/>
      <c r="O74" s="289"/>
      <c r="P74" s="289"/>
      <c r="Q74" s="289"/>
      <c r="R74" s="289"/>
      <c r="S74" s="289"/>
      <c r="T74" s="289"/>
      <c r="U74" s="289"/>
      <c r="V74" s="289"/>
      <c r="W74" s="289"/>
      <c r="X74" s="289"/>
    </row>
    <row r="75" spans="4:24" ht="15.75" customHeight="1">
      <c r="D75" s="289"/>
      <c r="E75" s="289"/>
      <c r="F75" s="289"/>
      <c r="G75" s="289"/>
      <c r="H75" s="289"/>
      <c r="I75" s="289"/>
      <c r="J75" s="289"/>
      <c r="K75" s="289"/>
      <c r="L75" s="289"/>
      <c r="M75" s="289"/>
      <c r="N75" s="289"/>
      <c r="O75" s="289"/>
      <c r="P75" s="289"/>
      <c r="Q75" s="289"/>
      <c r="R75" s="289"/>
      <c r="S75" s="289"/>
      <c r="T75" s="289"/>
      <c r="U75" s="289"/>
      <c r="V75" s="289"/>
      <c r="W75" s="289"/>
      <c r="X75" s="289"/>
    </row>
    <row r="76" spans="4:24" ht="15.75" customHeight="1">
      <c r="D76" s="289"/>
      <c r="E76" s="289"/>
      <c r="F76" s="289"/>
      <c r="G76" s="289"/>
      <c r="H76" s="289"/>
      <c r="I76" s="289"/>
      <c r="J76" s="289"/>
      <c r="K76" s="289"/>
      <c r="L76" s="289"/>
      <c r="M76" s="289"/>
      <c r="N76" s="289"/>
      <c r="O76" s="289"/>
      <c r="P76" s="289"/>
      <c r="Q76" s="289"/>
      <c r="R76" s="289"/>
      <c r="S76" s="289"/>
      <c r="T76" s="289"/>
      <c r="U76" s="289"/>
      <c r="V76" s="289"/>
      <c r="W76" s="289"/>
      <c r="X76" s="289"/>
    </row>
    <row r="77" spans="4:24" ht="15.75" customHeight="1">
      <c r="D77" s="289"/>
      <c r="E77" s="289"/>
      <c r="F77" s="289"/>
      <c r="G77" s="289"/>
      <c r="H77" s="289"/>
      <c r="I77" s="289"/>
      <c r="J77" s="289"/>
      <c r="K77" s="289"/>
      <c r="L77" s="289"/>
      <c r="M77" s="289"/>
      <c r="N77" s="289"/>
      <c r="O77" s="289"/>
      <c r="P77" s="289"/>
      <c r="Q77" s="289"/>
      <c r="R77" s="289"/>
      <c r="S77" s="289"/>
      <c r="T77" s="289"/>
      <c r="U77" s="289"/>
      <c r="V77" s="289"/>
      <c r="W77" s="289"/>
      <c r="X77" s="289"/>
    </row>
    <row r="78" spans="4:24" ht="15.75" customHeight="1">
      <c r="D78" s="289"/>
      <c r="E78" s="289"/>
      <c r="F78" s="289"/>
      <c r="G78" s="289"/>
      <c r="H78" s="289"/>
      <c r="I78" s="289"/>
      <c r="J78" s="289"/>
      <c r="K78" s="289"/>
      <c r="L78" s="289"/>
      <c r="M78" s="289"/>
      <c r="N78" s="289"/>
      <c r="O78" s="289"/>
      <c r="P78" s="289"/>
      <c r="Q78" s="289"/>
      <c r="R78" s="289"/>
      <c r="S78" s="289"/>
      <c r="T78" s="289"/>
      <c r="U78" s="289"/>
      <c r="V78" s="289"/>
      <c r="W78" s="289"/>
      <c r="X78" s="289"/>
    </row>
    <row r="79" spans="4:24" ht="15.75" customHeight="1">
      <c r="D79" s="289"/>
      <c r="E79" s="289"/>
      <c r="F79" s="289"/>
      <c r="G79" s="289"/>
      <c r="H79" s="289"/>
      <c r="I79" s="289"/>
      <c r="J79" s="289"/>
      <c r="K79" s="289"/>
      <c r="L79" s="289"/>
      <c r="M79" s="289"/>
      <c r="N79" s="289"/>
      <c r="O79" s="289"/>
      <c r="P79" s="289"/>
      <c r="Q79" s="289"/>
      <c r="R79" s="289"/>
      <c r="S79" s="289"/>
      <c r="T79" s="289"/>
      <c r="U79" s="289"/>
      <c r="V79" s="289"/>
      <c r="W79" s="289"/>
      <c r="X79" s="289"/>
    </row>
    <row r="80" spans="4:24" ht="15.75" customHeight="1">
      <c r="D80" s="289"/>
      <c r="E80" s="289"/>
      <c r="F80" s="289"/>
      <c r="G80" s="289"/>
      <c r="H80" s="289"/>
      <c r="I80" s="289"/>
      <c r="J80" s="289"/>
      <c r="K80" s="289"/>
      <c r="L80" s="289"/>
      <c r="M80" s="289"/>
      <c r="N80" s="289"/>
      <c r="O80" s="289"/>
      <c r="P80" s="289"/>
      <c r="Q80" s="289"/>
      <c r="R80" s="289"/>
      <c r="S80" s="289"/>
      <c r="T80" s="289"/>
      <c r="U80" s="289"/>
      <c r="V80" s="289"/>
      <c r="W80" s="289"/>
      <c r="X80" s="289"/>
    </row>
    <row r="81" spans="4:24" ht="15.75" customHeight="1">
      <c r="D81" s="289"/>
      <c r="E81" s="289"/>
      <c r="F81" s="289"/>
      <c r="G81" s="289"/>
      <c r="H81" s="289"/>
      <c r="I81" s="289"/>
      <c r="J81" s="289"/>
      <c r="K81" s="289"/>
      <c r="L81" s="289"/>
      <c r="M81" s="289"/>
      <c r="N81" s="289"/>
      <c r="O81" s="289"/>
      <c r="P81" s="289"/>
      <c r="Q81" s="289"/>
      <c r="R81" s="289"/>
      <c r="S81" s="289"/>
      <c r="T81" s="289"/>
      <c r="U81" s="289"/>
      <c r="V81" s="289"/>
      <c r="W81" s="289"/>
      <c r="X81" s="289"/>
    </row>
    <row r="82" spans="4:24" ht="15.75" customHeight="1">
      <c r="D82" s="289"/>
      <c r="E82" s="289"/>
      <c r="F82" s="289"/>
      <c r="G82" s="289"/>
      <c r="H82" s="289"/>
      <c r="I82" s="289"/>
      <c r="J82" s="289"/>
      <c r="K82" s="289"/>
      <c r="L82" s="289"/>
      <c r="M82" s="289"/>
      <c r="N82" s="289"/>
      <c r="O82" s="289"/>
      <c r="P82" s="289"/>
      <c r="Q82" s="289"/>
      <c r="R82" s="289"/>
      <c r="S82" s="289"/>
      <c r="T82" s="289"/>
      <c r="U82" s="289"/>
      <c r="V82" s="289"/>
      <c r="W82" s="289"/>
      <c r="X82" s="289"/>
    </row>
    <row r="83" spans="4:24" ht="15.75" customHeight="1">
      <c r="D83" s="289"/>
      <c r="E83" s="289"/>
      <c r="F83" s="289"/>
      <c r="G83" s="289"/>
      <c r="H83" s="289"/>
      <c r="I83" s="289"/>
      <c r="J83" s="289"/>
      <c r="K83" s="289"/>
      <c r="L83" s="289"/>
      <c r="M83" s="289"/>
      <c r="N83" s="289"/>
      <c r="O83" s="289"/>
      <c r="P83" s="289"/>
      <c r="Q83" s="289"/>
      <c r="R83" s="289"/>
      <c r="S83" s="289"/>
      <c r="T83" s="289"/>
      <c r="U83" s="289"/>
      <c r="V83" s="289"/>
      <c r="W83" s="289"/>
      <c r="X83" s="289"/>
    </row>
    <row r="84" spans="4:24" ht="15.75" customHeight="1">
      <c r="D84" s="289"/>
      <c r="E84" s="289"/>
      <c r="F84" s="289"/>
      <c r="G84" s="289"/>
      <c r="H84" s="289"/>
      <c r="I84" s="289"/>
      <c r="J84" s="289"/>
      <c r="K84" s="289"/>
      <c r="L84" s="289"/>
      <c r="M84" s="289"/>
      <c r="N84" s="289"/>
      <c r="O84" s="289"/>
      <c r="P84" s="289"/>
      <c r="Q84" s="289"/>
      <c r="R84" s="289"/>
      <c r="S84" s="289"/>
      <c r="T84" s="289"/>
      <c r="U84" s="289"/>
      <c r="V84" s="289"/>
      <c r="W84" s="289"/>
      <c r="X84" s="289"/>
    </row>
    <row r="85" spans="4:24" ht="15.75" customHeight="1">
      <c r="D85" s="289"/>
      <c r="E85" s="289"/>
      <c r="F85" s="289"/>
      <c r="G85" s="289"/>
      <c r="H85" s="289"/>
      <c r="I85" s="289"/>
      <c r="J85" s="289"/>
      <c r="K85" s="289"/>
      <c r="L85" s="289"/>
      <c r="M85" s="289"/>
      <c r="N85" s="289"/>
      <c r="O85" s="289"/>
      <c r="P85" s="289"/>
      <c r="Q85" s="289"/>
      <c r="R85" s="289"/>
      <c r="S85" s="289"/>
      <c r="T85" s="289"/>
      <c r="U85" s="289"/>
      <c r="V85" s="289"/>
      <c r="W85" s="289"/>
      <c r="X85" s="289"/>
    </row>
    <row r="86" spans="4:24" ht="15.75" customHeight="1">
      <c r="D86" s="289"/>
      <c r="E86" s="289"/>
      <c r="F86" s="289"/>
      <c r="G86" s="289"/>
      <c r="H86" s="289"/>
      <c r="I86" s="289"/>
      <c r="J86" s="289"/>
      <c r="K86" s="289"/>
      <c r="L86" s="289"/>
      <c r="M86" s="289"/>
      <c r="N86" s="289"/>
      <c r="O86" s="289"/>
      <c r="P86" s="289"/>
      <c r="Q86" s="289"/>
      <c r="R86" s="289"/>
      <c r="S86" s="289"/>
      <c r="T86" s="289"/>
      <c r="U86" s="289"/>
      <c r="V86" s="289"/>
      <c r="W86" s="289"/>
      <c r="X86" s="289"/>
    </row>
    <row r="87" spans="4:24" ht="15.75" customHeight="1">
      <c r="D87" s="289"/>
      <c r="E87" s="289"/>
      <c r="F87" s="289"/>
      <c r="G87" s="289"/>
      <c r="H87" s="289"/>
      <c r="I87" s="289"/>
      <c r="J87" s="289"/>
      <c r="K87" s="289"/>
      <c r="L87" s="289"/>
      <c r="M87" s="289"/>
      <c r="N87" s="289"/>
      <c r="O87" s="289"/>
      <c r="P87" s="289"/>
      <c r="Q87" s="289"/>
      <c r="R87" s="289"/>
      <c r="S87" s="289"/>
      <c r="T87" s="289"/>
      <c r="U87" s="289"/>
      <c r="V87" s="289"/>
      <c r="W87" s="289"/>
      <c r="X87" s="289"/>
    </row>
    <row r="88" spans="4:24" ht="15.75" customHeight="1">
      <c r="D88" s="289"/>
      <c r="E88" s="289"/>
      <c r="F88" s="289"/>
      <c r="G88" s="289"/>
      <c r="H88" s="289"/>
      <c r="I88" s="289"/>
      <c r="J88" s="289"/>
      <c r="K88" s="289"/>
      <c r="L88" s="289"/>
      <c r="M88" s="289"/>
      <c r="N88" s="289"/>
      <c r="O88" s="289"/>
      <c r="P88" s="289"/>
      <c r="Q88" s="289"/>
      <c r="R88" s="289"/>
      <c r="S88" s="289"/>
      <c r="T88" s="289"/>
      <c r="U88" s="289"/>
      <c r="V88" s="289"/>
      <c r="W88" s="289"/>
      <c r="X88" s="289"/>
    </row>
    <row r="89" spans="4:24" ht="15.75" customHeight="1">
      <c r="D89" s="289"/>
      <c r="E89" s="289"/>
      <c r="F89" s="289"/>
      <c r="G89" s="289"/>
      <c r="H89" s="289"/>
      <c r="I89" s="289"/>
      <c r="J89" s="289"/>
      <c r="K89" s="289"/>
      <c r="L89" s="289"/>
      <c r="M89" s="289"/>
      <c r="N89" s="289"/>
      <c r="O89" s="289"/>
      <c r="P89" s="289"/>
      <c r="Q89" s="289"/>
      <c r="R89" s="289"/>
      <c r="S89" s="289"/>
      <c r="T89" s="289"/>
      <c r="U89" s="289"/>
      <c r="V89" s="289"/>
      <c r="W89" s="289"/>
      <c r="X89" s="289"/>
    </row>
    <row r="90" spans="4:24" ht="15.75" customHeight="1">
      <c r="D90" s="289"/>
      <c r="E90" s="289"/>
      <c r="F90" s="289"/>
      <c r="G90" s="289"/>
      <c r="H90" s="289"/>
      <c r="I90" s="289"/>
      <c r="J90" s="289"/>
      <c r="K90" s="289"/>
      <c r="L90" s="289"/>
      <c r="M90" s="289"/>
      <c r="N90" s="289"/>
      <c r="O90" s="289"/>
      <c r="P90" s="289"/>
      <c r="Q90" s="289"/>
      <c r="R90" s="289"/>
      <c r="S90" s="289"/>
      <c r="T90" s="289"/>
      <c r="U90" s="289"/>
      <c r="V90" s="289"/>
      <c r="W90" s="289"/>
      <c r="X90" s="289"/>
    </row>
    <row r="91" spans="4:24" ht="15.75" customHeight="1">
      <c r="D91" s="289"/>
      <c r="E91" s="289"/>
      <c r="F91" s="289"/>
      <c r="G91" s="289"/>
      <c r="H91" s="289"/>
      <c r="I91" s="289"/>
      <c r="J91" s="289"/>
      <c r="K91" s="289"/>
      <c r="L91" s="289"/>
      <c r="M91" s="289"/>
      <c r="N91" s="289"/>
      <c r="O91" s="289"/>
      <c r="P91" s="289"/>
      <c r="Q91" s="289"/>
      <c r="R91" s="289"/>
      <c r="S91" s="289"/>
      <c r="T91" s="289"/>
      <c r="U91" s="289"/>
      <c r="V91" s="289"/>
      <c r="W91" s="289"/>
      <c r="X91" s="289"/>
    </row>
    <row r="92" spans="4:24" ht="15.75" customHeight="1">
      <c r="D92" s="289"/>
      <c r="E92" s="289"/>
      <c r="F92" s="289"/>
      <c r="G92" s="289"/>
      <c r="H92" s="289"/>
      <c r="I92" s="289"/>
      <c r="J92" s="289"/>
      <c r="K92" s="289"/>
      <c r="L92" s="289"/>
      <c r="M92" s="289"/>
      <c r="N92" s="289"/>
      <c r="O92" s="289"/>
      <c r="P92" s="289"/>
      <c r="Q92" s="289"/>
      <c r="R92" s="289"/>
      <c r="S92" s="289"/>
      <c r="T92" s="289"/>
      <c r="U92" s="289"/>
      <c r="V92" s="289"/>
      <c r="W92" s="289"/>
      <c r="X92" s="289"/>
    </row>
    <row r="93" spans="4:24" ht="15.75" customHeight="1">
      <c r="D93" s="289"/>
      <c r="E93" s="289"/>
      <c r="F93" s="289"/>
      <c r="G93" s="289"/>
      <c r="H93" s="289"/>
      <c r="I93" s="289"/>
      <c r="J93" s="289"/>
      <c r="K93" s="289"/>
      <c r="L93" s="289"/>
      <c r="M93" s="289"/>
      <c r="N93" s="289"/>
      <c r="O93" s="289"/>
      <c r="P93" s="289"/>
      <c r="Q93" s="289"/>
      <c r="R93" s="289"/>
      <c r="S93" s="289"/>
      <c r="T93" s="289"/>
      <c r="U93" s="289"/>
      <c r="V93" s="289"/>
      <c r="W93" s="289"/>
      <c r="X93" s="289"/>
    </row>
    <row r="94" spans="4:24" ht="15.75" customHeight="1">
      <c r="D94" s="289"/>
      <c r="E94" s="289"/>
      <c r="F94" s="289"/>
      <c r="G94" s="289"/>
      <c r="H94" s="289"/>
      <c r="I94" s="289"/>
      <c r="J94" s="289"/>
      <c r="K94" s="289"/>
      <c r="L94" s="289"/>
      <c r="M94" s="289"/>
      <c r="N94" s="289"/>
      <c r="O94" s="289"/>
      <c r="P94" s="289"/>
      <c r="Q94" s="289"/>
      <c r="R94" s="289"/>
      <c r="S94" s="289"/>
      <c r="T94" s="289"/>
      <c r="U94" s="289"/>
      <c r="V94" s="289"/>
      <c r="W94" s="289"/>
      <c r="X94" s="289"/>
    </row>
    <row r="95" spans="4:24" ht="15.75" customHeight="1">
      <c r="D95" s="289"/>
      <c r="E95" s="289"/>
      <c r="F95" s="289"/>
      <c r="G95" s="289"/>
      <c r="H95" s="289"/>
      <c r="I95" s="289"/>
      <c r="J95" s="289"/>
      <c r="K95" s="289"/>
      <c r="L95" s="289"/>
      <c r="M95" s="289"/>
      <c r="N95" s="289"/>
      <c r="O95" s="289"/>
      <c r="P95" s="289"/>
      <c r="Q95" s="289"/>
      <c r="R95" s="289"/>
      <c r="S95" s="289"/>
      <c r="T95" s="289"/>
      <c r="U95" s="289"/>
      <c r="V95" s="289"/>
      <c r="W95" s="289"/>
      <c r="X95" s="289"/>
    </row>
    <row r="96" spans="4:24" ht="15.75" customHeight="1">
      <c r="D96" s="289"/>
      <c r="E96" s="289"/>
      <c r="F96" s="289"/>
      <c r="G96" s="289"/>
      <c r="H96" s="289"/>
      <c r="I96" s="289"/>
      <c r="J96" s="289"/>
      <c r="K96" s="289"/>
      <c r="L96" s="289"/>
      <c r="M96" s="289"/>
      <c r="N96" s="289"/>
      <c r="O96" s="289"/>
      <c r="P96" s="289"/>
      <c r="Q96" s="289"/>
      <c r="R96" s="289"/>
      <c r="S96" s="289"/>
      <c r="T96" s="289"/>
      <c r="U96" s="289"/>
      <c r="V96" s="289"/>
      <c r="W96" s="289"/>
      <c r="X96" s="289"/>
    </row>
    <row r="97" spans="4:24" ht="15.75" customHeight="1">
      <c r="D97" s="289"/>
      <c r="E97" s="289"/>
      <c r="F97" s="289"/>
      <c r="G97" s="289"/>
      <c r="H97" s="289"/>
      <c r="I97" s="289"/>
      <c r="J97" s="289"/>
      <c r="K97" s="289"/>
      <c r="L97" s="289"/>
      <c r="M97" s="289"/>
      <c r="N97" s="289"/>
      <c r="O97" s="289"/>
      <c r="P97" s="289"/>
      <c r="Q97" s="289"/>
      <c r="R97" s="289"/>
      <c r="S97" s="289"/>
      <c r="T97" s="289"/>
      <c r="U97" s="289"/>
      <c r="V97" s="289"/>
      <c r="W97" s="289"/>
      <c r="X97" s="289"/>
    </row>
    <row r="98" spans="4:24" ht="15.75" customHeight="1">
      <c r="D98" s="289"/>
      <c r="E98" s="289"/>
      <c r="F98" s="289"/>
      <c r="G98" s="289"/>
      <c r="H98" s="289"/>
      <c r="I98" s="289"/>
      <c r="J98" s="289"/>
      <c r="K98" s="289"/>
      <c r="L98" s="289"/>
      <c r="M98" s="289"/>
      <c r="N98" s="289"/>
      <c r="O98" s="289"/>
      <c r="P98" s="289"/>
      <c r="Q98" s="289"/>
      <c r="R98" s="289"/>
      <c r="S98" s="289"/>
      <c r="T98" s="289"/>
      <c r="U98" s="289"/>
      <c r="V98" s="289"/>
      <c r="W98" s="289"/>
      <c r="X98" s="289"/>
    </row>
    <row r="99" spans="4:24" ht="15.75" customHeight="1">
      <c r="D99" s="289"/>
      <c r="E99" s="289"/>
      <c r="F99" s="289"/>
      <c r="G99" s="289"/>
      <c r="H99" s="289"/>
      <c r="I99" s="289"/>
      <c r="J99" s="289"/>
      <c r="K99" s="289"/>
      <c r="L99" s="289"/>
      <c r="M99" s="289"/>
      <c r="N99" s="289"/>
      <c r="O99" s="289"/>
      <c r="P99" s="289"/>
      <c r="Q99" s="289"/>
      <c r="R99" s="289"/>
      <c r="S99" s="289"/>
      <c r="T99" s="289"/>
      <c r="U99" s="289"/>
      <c r="V99" s="289"/>
      <c r="W99" s="289"/>
      <c r="X99" s="289"/>
    </row>
    <row r="100" spans="4:24" ht="15.75" customHeight="1">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4:24" ht="15.75" customHeight="1">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4:24" ht="15.75" customHeight="1">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4:24" ht="15.75" customHeight="1">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4:24" ht="15.75" customHeight="1">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4:24" ht="15.75" customHeight="1">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4:24" ht="15.75" customHeight="1">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4:24" ht="15.75" customHeight="1">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4:24" ht="15.75" customHeight="1">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4:24" ht="15.75" customHeight="1">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4:24" ht="15.75" customHeight="1">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4:24" ht="15.75" customHeight="1">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4:24" ht="15.75" customHeight="1">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4:24" ht="15.75" customHeight="1">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4:24" ht="15.75" customHeight="1">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4:24" ht="15.75" customHeight="1">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4:24" ht="15.75" customHeight="1">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4:24" ht="15.75" customHeight="1">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4:24" ht="15.75" customHeight="1">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4:24" ht="15.75" customHeight="1">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4:24" ht="15.75" customHeight="1">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4:24" ht="15.75" customHeight="1">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4:24" ht="15.75" customHeight="1">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4:24" ht="15.75" customHeight="1">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4:24" ht="15.75" customHeight="1">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4:24" ht="15.75" customHeight="1">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4:24" ht="15.75" customHeight="1">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4:24" ht="15.75" customHeight="1">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4:24" ht="15.75" customHeight="1">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4:24" ht="15.75" customHeight="1">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4:24" ht="15.75" customHeight="1">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4:24" ht="15.75" customHeight="1">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4:24" ht="15.75" customHeight="1">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4:24" ht="15.75" customHeight="1">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4:24" ht="15.75" customHeight="1">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4:24" ht="15.75" customHeight="1">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4:24" ht="15.75" customHeight="1">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4:24" ht="15.75" customHeight="1">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4:24" ht="15.75" customHeight="1">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4:24" ht="15.75" customHeight="1">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4:24" ht="15.75" customHeight="1">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4:24" ht="15.75" customHeight="1">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4:24" ht="15.75" customHeight="1">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4:24" ht="15.75" customHeight="1">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4:24" ht="15.75" customHeight="1">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4:24" ht="15.75" customHeight="1">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4:24" ht="15.75" customHeight="1">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4:24" ht="15.75" customHeight="1">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4:24" ht="15.75" customHeight="1">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4:24" ht="15.75" customHeight="1">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4:24" ht="15.75" customHeight="1">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4:24" ht="15.75" customHeight="1">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4:24" ht="15.75" customHeight="1">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4:24" ht="15.75" customHeight="1">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4:24" ht="15.75" customHeight="1">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4:24" ht="15.75" customHeight="1">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4:24" ht="15.75" customHeight="1">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4:24" ht="15.75" customHeight="1">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4:24" ht="15.75" customHeight="1">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4:24" ht="15.75" customHeight="1">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4:24" ht="15.75" customHeight="1">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4:24" ht="15.75" customHeight="1">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4:24" ht="15.75" customHeight="1">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4:24" ht="15.75" customHeight="1">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4:24" ht="15.75" customHeight="1">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4:24" ht="15.75" customHeight="1">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4:24" ht="15.75" customHeight="1">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4:24" ht="15.75" customHeight="1">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4:24" ht="15.75" customHeight="1">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4:24" ht="15.75" customHeight="1">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4:24" ht="15.75" customHeight="1">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4:24" ht="15.75" customHeight="1">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4:24" ht="15.75" customHeight="1">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4:24" ht="15.75" customHeight="1">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4:24" ht="15.75" customHeight="1">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4:24" ht="15.75" customHeight="1">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4:24" ht="15.75" customHeight="1">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4:24" ht="15.75" customHeight="1">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4:24" ht="15.75" customHeight="1">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4:24" ht="15.75" customHeight="1">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4:24" ht="15.75" customHeight="1">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4:24" ht="15.75" customHeight="1">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4:24" ht="15.75" customHeight="1">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4:24" ht="15.75" customHeight="1">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4:24" ht="15.75" customHeight="1">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4:24" ht="15.75" customHeight="1">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4:24" ht="15.75" customHeight="1">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4:24" ht="15.75" customHeight="1">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4:24" ht="15.75" customHeight="1">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4:24" ht="15.75" customHeight="1">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4:24" ht="15.75" customHeight="1">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4:24" ht="15.75" customHeight="1">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4:24" ht="15.75" customHeight="1">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4:24" ht="15.75" customHeight="1">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4:24" ht="15.75" customHeight="1">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4:24" ht="15.75" customHeight="1">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4:24" ht="15.75" customHeight="1">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4:24" ht="15.75" customHeight="1">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4:24" ht="15.75" customHeight="1">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4:24" ht="15.75" customHeight="1">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4:24" ht="15.75" customHeight="1">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4:24" ht="15.75" customHeight="1">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4:24" ht="15.75" customHeight="1">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4:24" ht="15.75" customHeight="1">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4:24" ht="15.75" customHeight="1">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4:24" ht="15.75" customHeight="1">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4:24" ht="15.75" customHeight="1">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4:24" ht="15.75" customHeight="1">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4:24" ht="15.75" customHeight="1">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4:24" ht="15.75" customHeight="1">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4:24" ht="15.75" customHeight="1">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4:24" ht="15.75" customHeight="1">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4:24" ht="15.75" customHeight="1">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4:24" ht="15.75" customHeight="1">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4:24" ht="15.75" customHeight="1">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4:24" ht="15.75" customHeight="1">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4:24" ht="15.75" customHeight="1">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4:24" ht="15.75" customHeight="1">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4:24" ht="15.75" customHeight="1">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4:24" ht="15.75" customHeight="1">
      <c r="D219" s="289"/>
      <c r="E219" s="289"/>
      <c r="F219" s="289"/>
      <c r="G219" s="289"/>
      <c r="H219" s="289"/>
      <c r="I219" s="289"/>
      <c r="J219" s="289"/>
      <c r="K219" s="289"/>
      <c r="L219" s="289"/>
      <c r="M219" s="289"/>
      <c r="N219" s="289"/>
      <c r="O219" s="289"/>
      <c r="P219" s="289"/>
      <c r="Q219" s="289"/>
      <c r="R219" s="289"/>
      <c r="S219" s="289"/>
      <c r="T219" s="289"/>
      <c r="U219" s="289"/>
      <c r="V219" s="289"/>
      <c r="W219" s="289"/>
      <c r="X219" s="289"/>
    </row>
    <row r="220" spans="4:24" ht="15.75" customHeight="1">
      <c r="D220" s="289"/>
      <c r="E220" s="289"/>
      <c r="F220" s="289"/>
      <c r="G220" s="289"/>
      <c r="H220" s="289"/>
      <c r="I220" s="289"/>
      <c r="J220" s="289"/>
      <c r="K220" s="289"/>
      <c r="L220" s="289"/>
      <c r="M220" s="289"/>
      <c r="N220" s="289"/>
      <c r="O220" s="289"/>
      <c r="P220" s="289"/>
      <c r="Q220" s="289"/>
      <c r="R220" s="289"/>
      <c r="S220" s="289"/>
      <c r="T220" s="289"/>
      <c r="U220" s="289"/>
      <c r="V220" s="289"/>
      <c r="W220" s="289"/>
      <c r="X220" s="289"/>
    </row>
    <row r="221" spans="4:24" ht="15.75" customHeight="1">
      <c r="D221" s="289"/>
      <c r="E221" s="289"/>
      <c r="F221" s="289"/>
      <c r="G221" s="289"/>
      <c r="H221" s="289"/>
      <c r="I221" s="289"/>
      <c r="J221" s="289"/>
      <c r="K221" s="289"/>
      <c r="L221" s="289"/>
      <c r="M221" s="289"/>
      <c r="N221" s="289"/>
      <c r="O221" s="289"/>
      <c r="P221" s="289"/>
      <c r="Q221" s="289"/>
      <c r="R221" s="289"/>
      <c r="S221" s="289"/>
      <c r="T221" s="289"/>
      <c r="U221" s="289"/>
      <c r="V221" s="289"/>
      <c r="W221" s="289"/>
      <c r="X221" s="289"/>
    </row>
    <row r="222" spans="4:24" ht="15.75" customHeight="1">
      <c r="D222" s="289"/>
      <c r="E222" s="289"/>
      <c r="F222" s="289"/>
      <c r="G222" s="289"/>
      <c r="H222" s="289"/>
      <c r="I222" s="289"/>
      <c r="J222" s="289"/>
      <c r="K222" s="289"/>
      <c r="L222" s="289"/>
      <c r="M222" s="289"/>
      <c r="N222" s="289"/>
      <c r="O222" s="289"/>
      <c r="P222" s="289"/>
      <c r="Q222" s="289"/>
      <c r="R222" s="289"/>
      <c r="S222" s="289"/>
      <c r="T222" s="289"/>
      <c r="U222" s="289"/>
      <c r="V222" s="289"/>
      <c r="W222" s="289"/>
      <c r="X222" s="289"/>
    </row>
    <row r="223" spans="4:24" ht="15.75" customHeight="1">
      <c r="D223" s="289"/>
      <c r="E223" s="289"/>
      <c r="F223" s="289"/>
      <c r="G223" s="289"/>
      <c r="H223" s="289"/>
      <c r="I223" s="289"/>
      <c r="J223" s="289"/>
      <c r="K223" s="289"/>
      <c r="L223" s="289"/>
      <c r="M223" s="289"/>
      <c r="N223" s="289"/>
      <c r="O223" s="289"/>
      <c r="P223" s="289"/>
      <c r="Q223" s="289"/>
      <c r="R223" s="289"/>
      <c r="S223" s="289"/>
      <c r="T223" s="289"/>
      <c r="U223" s="289"/>
      <c r="V223" s="289"/>
      <c r="W223" s="289"/>
      <c r="X223" s="289"/>
    </row>
    <row r="224" spans="4: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X999"/>
  <sheetViews>
    <sheetView workbookViewId="0"/>
  </sheetViews>
  <sheetFormatPr defaultColWidth="12.5703125" defaultRowHeight="15" customHeight="1"/>
  <cols>
    <col min="1" max="1" width="5.7109375" customWidth="1"/>
    <col min="2" max="2" width="21.42578125" customWidth="1"/>
    <col min="3" max="3" width="10.5703125" customWidth="1"/>
    <col min="4" max="4" width="14.7109375" customWidth="1"/>
    <col min="5" max="5" width="11.28515625" customWidth="1"/>
    <col min="6" max="6" width="11.42578125" customWidth="1"/>
    <col min="7" max="7" width="13.7109375" customWidth="1"/>
    <col min="8" max="8" width="2.140625" customWidth="1"/>
    <col min="9" max="9" width="55.28515625" customWidth="1"/>
    <col min="10" max="10" width="2.1406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3.42578125" customWidth="1"/>
    <col min="24" max="24" width="11.42578125" customWidth="1"/>
  </cols>
  <sheetData>
    <row r="1" spans="1:24" ht="15.75" customHeight="1">
      <c r="A1" s="128" t="s">
        <v>122</v>
      </c>
      <c r="B1" s="129"/>
      <c r="C1" s="292"/>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438</v>
      </c>
      <c r="B2" s="129"/>
      <c r="C2" s="292"/>
      <c r="D2" s="129"/>
      <c r="E2" s="129"/>
      <c r="F2" s="129"/>
      <c r="G2" s="129"/>
      <c r="H2" s="129"/>
      <c r="I2" s="129"/>
      <c r="J2" s="129"/>
      <c r="K2" s="129"/>
      <c r="L2" s="130"/>
      <c r="M2" s="129"/>
      <c r="N2" s="129"/>
      <c r="O2" s="129"/>
      <c r="P2" s="129"/>
      <c r="Q2" s="129"/>
      <c r="R2" s="129"/>
      <c r="S2" s="129"/>
      <c r="T2" s="129"/>
      <c r="U2" s="129"/>
      <c r="V2" s="129"/>
      <c r="W2" s="129"/>
      <c r="X2" s="129"/>
    </row>
    <row r="3" spans="1:24" ht="15.75" customHeight="1">
      <c r="A3" s="293"/>
      <c r="B3" s="294"/>
      <c r="C3" s="292"/>
      <c r="D3" s="129"/>
      <c r="E3" s="129"/>
      <c r="F3" s="129"/>
      <c r="G3" s="129"/>
      <c r="H3" s="129"/>
      <c r="I3" s="129"/>
      <c r="J3" s="129"/>
      <c r="K3" s="160"/>
      <c r="L3" s="454"/>
      <c r="M3" s="160"/>
      <c r="N3" s="160"/>
      <c r="O3" s="160"/>
      <c r="P3" s="160"/>
      <c r="Q3" s="160"/>
      <c r="R3" s="295"/>
      <c r="S3" s="295"/>
      <c r="T3" s="160"/>
      <c r="U3" s="160"/>
      <c r="V3" s="160"/>
      <c r="W3" s="160"/>
      <c r="X3" s="160"/>
    </row>
    <row r="4" spans="1:24" ht="36.75"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128"/>
      <c r="B5" s="129"/>
      <c r="C5" s="292">
        <v>0</v>
      </c>
      <c r="D5" s="210"/>
      <c r="E5" s="210"/>
      <c r="F5" s="210"/>
      <c r="G5" s="210"/>
      <c r="H5" s="249"/>
      <c r="I5" s="210"/>
      <c r="J5" s="249"/>
      <c r="K5" s="214">
        <v>0</v>
      </c>
      <c r="L5" s="214">
        <v>0</v>
      </c>
      <c r="M5" s="214">
        <f>$C$5/10</f>
        <v>0</v>
      </c>
      <c r="N5" s="214"/>
      <c r="O5" s="214">
        <f>$C$5/10</f>
        <v>0</v>
      </c>
      <c r="P5" s="214"/>
      <c r="Q5" s="214">
        <f>$C$5/10</f>
        <v>0</v>
      </c>
      <c r="R5" s="214"/>
      <c r="S5" s="214">
        <f>$C$5/10</f>
        <v>0</v>
      </c>
      <c r="T5" s="214"/>
      <c r="U5" s="214">
        <f>$C$5/10</f>
        <v>0</v>
      </c>
      <c r="V5" s="214"/>
      <c r="W5" s="301"/>
      <c r="X5" s="214">
        <f>$C$5/10</f>
        <v>0</v>
      </c>
    </row>
    <row r="6" spans="1:24" ht="15.75" customHeight="1">
      <c r="A6" s="128" t="s">
        <v>153</v>
      </c>
      <c r="B6" s="128"/>
      <c r="C6" s="335">
        <f>SUM(C5)</f>
        <v>0</v>
      </c>
      <c r="D6" s="336"/>
      <c r="E6" s="336"/>
      <c r="F6" s="336"/>
      <c r="G6" s="336"/>
      <c r="H6" s="337"/>
      <c r="I6" s="336"/>
      <c r="J6" s="337"/>
      <c r="K6" s="339">
        <f t="shared" ref="K6:M6" si="0">SUM(K5)</f>
        <v>0</v>
      </c>
      <c r="L6" s="339">
        <f t="shared" si="0"/>
        <v>0</v>
      </c>
      <c r="M6" s="339">
        <f t="shared" si="0"/>
        <v>0</v>
      </c>
      <c r="N6" s="339"/>
      <c r="O6" s="339">
        <f>SUM(O5)</f>
        <v>0</v>
      </c>
      <c r="P6" s="339"/>
      <c r="Q6" s="339">
        <f>SUM(Q5)</f>
        <v>0</v>
      </c>
      <c r="R6" s="339"/>
      <c r="S6" s="339">
        <f>SUM(S5)</f>
        <v>0</v>
      </c>
      <c r="T6" s="339"/>
      <c r="U6" s="339">
        <f>SUM(U5)</f>
        <v>0</v>
      </c>
      <c r="V6" s="339"/>
      <c r="W6" s="389"/>
      <c r="X6" s="339">
        <f>SUM(X5)</f>
        <v>0</v>
      </c>
    </row>
    <row r="7" spans="1:24" ht="15.75" customHeight="1">
      <c r="A7" s="128"/>
      <c r="B7" s="129"/>
      <c r="C7" s="292"/>
      <c r="D7" s="135"/>
      <c r="E7" s="135"/>
      <c r="F7" s="135"/>
      <c r="G7" s="135"/>
      <c r="H7" s="135"/>
      <c r="I7" s="135"/>
      <c r="J7" s="135"/>
      <c r="K7" s="135"/>
      <c r="L7" s="130"/>
      <c r="M7" s="135"/>
      <c r="N7" s="135"/>
      <c r="O7" s="135"/>
      <c r="P7" s="135"/>
      <c r="Q7" s="135"/>
      <c r="R7" s="135"/>
      <c r="S7" s="135"/>
      <c r="T7" s="135"/>
      <c r="U7" s="135"/>
      <c r="V7" s="135"/>
      <c r="W7" s="135"/>
      <c r="X7" s="135"/>
    </row>
    <row r="8" spans="1:24" ht="36.75" customHeight="1">
      <c r="A8" s="128" t="s">
        <v>154</v>
      </c>
      <c r="B8" s="129"/>
      <c r="C8" s="137"/>
      <c r="D8" s="140"/>
      <c r="E8" s="140"/>
      <c r="F8" s="140"/>
      <c r="G8" s="140"/>
      <c r="H8" s="295"/>
      <c r="I8" s="295"/>
      <c r="J8" s="295"/>
      <c r="K8" s="295"/>
      <c r="L8" s="454"/>
      <c r="M8" s="295"/>
      <c r="N8" s="295"/>
      <c r="O8" s="295"/>
      <c r="P8" s="295"/>
      <c r="Q8" s="295"/>
      <c r="R8" s="295"/>
      <c r="S8" s="295"/>
      <c r="T8" s="295"/>
      <c r="U8" s="295"/>
      <c r="V8" s="295"/>
      <c r="W8" s="295"/>
      <c r="X8" s="295"/>
    </row>
    <row r="9" spans="1:24" ht="32.25" customHeight="1">
      <c r="A9" s="128"/>
      <c r="B9" s="346" t="s">
        <v>45</v>
      </c>
      <c r="C9" s="347">
        <v>0</v>
      </c>
      <c r="D9" s="67">
        <v>0</v>
      </c>
      <c r="E9" s="67">
        <v>0</v>
      </c>
      <c r="F9" s="67">
        <v>2720</v>
      </c>
      <c r="G9" s="67">
        <f t="shared" ref="G9:G13" si="1">F9-C9</f>
        <v>2720</v>
      </c>
      <c r="H9" s="317"/>
      <c r="I9" s="357" t="s">
        <v>439</v>
      </c>
      <c r="J9" s="317"/>
      <c r="K9" s="349">
        <v>0</v>
      </c>
      <c r="L9" s="349">
        <v>0</v>
      </c>
      <c r="M9" s="349">
        <v>120</v>
      </c>
      <c r="N9" s="349">
        <v>0</v>
      </c>
      <c r="O9" s="349">
        <v>0</v>
      </c>
      <c r="P9" s="349">
        <v>0</v>
      </c>
      <c r="Q9" s="349">
        <v>0</v>
      </c>
      <c r="R9" s="349">
        <v>0</v>
      </c>
      <c r="S9" s="349">
        <v>0</v>
      </c>
      <c r="T9" s="349">
        <v>0</v>
      </c>
      <c r="U9" s="349">
        <v>0</v>
      </c>
      <c r="V9" s="349">
        <v>2600</v>
      </c>
      <c r="W9" s="426"/>
      <c r="X9" s="318">
        <f t="shared" ref="X9:X10" si="2">SUM(K9:V9)</f>
        <v>2720</v>
      </c>
    </row>
    <row r="10" spans="1:24" ht="28.5" customHeight="1">
      <c r="A10" s="128"/>
      <c r="B10" s="346" t="s">
        <v>361</v>
      </c>
      <c r="C10" s="347">
        <v>0</v>
      </c>
      <c r="D10" s="67">
        <v>3751</v>
      </c>
      <c r="E10" s="67">
        <v>980</v>
      </c>
      <c r="F10" s="67">
        <f>1000+2000</f>
        <v>3000</v>
      </c>
      <c r="G10" s="67">
        <f t="shared" si="1"/>
        <v>3000</v>
      </c>
      <c r="H10" s="317"/>
      <c r="I10" s="357" t="s">
        <v>440</v>
      </c>
      <c r="J10" s="317"/>
      <c r="K10" s="318">
        <v>500</v>
      </c>
      <c r="L10" s="318">
        <v>2000</v>
      </c>
      <c r="M10" s="318">
        <v>0</v>
      </c>
      <c r="N10" s="318">
        <v>0</v>
      </c>
      <c r="O10" s="318">
        <v>0</v>
      </c>
      <c r="P10" s="318">
        <v>0</v>
      </c>
      <c r="Q10" s="318">
        <v>500</v>
      </c>
      <c r="R10" s="318">
        <v>0</v>
      </c>
      <c r="S10" s="318">
        <v>0</v>
      </c>
      <c r="T10" s="318">
        <v>0</v>
      </c>
      <c r="U10" s="318">
        <v>0</v>
      </c>
      <c r="V10" s="318">
        <v>0</v>
      </c>
      <c r="W10" s="468"/>
      <c r="X10" s="318">
        <f t="shared" si="2"/>
        <v>3000</v>
      </c>
    </row>
    <row r="11" spans="1:24" ht="15.75" hidden="1" customHeight="1">
      <c r="A11" s="128"/>
      <c r="B11" s="129"/>
      <c r="C11" s="320"/>
      <c r="D11" s="351"/>
      <c r="E11" s="351"/>
      <c r="F11" s="351"/>
      <c r="G11" s="67">
        <f t="shared" si="1"/>
        <v>0</v>
      </c>
      <c r="H11" s="211"/>
      <c r="I11" s="351"/>
      <c r="J11" s="211"/>
      <c r="K11" s="212">
        <v>0</v>
      </c>
      <c r="L11" s="212"/>
      <c r="M11" s="212">
        <v>0</v>
      </c>
      <c r="N11" s="212"/>
      <c r="O11" s="212">
        <v>0</v>
      </c>
      <c r="P11" s="212"/>
      <c r="Q11" s="212">
        <v>0</v>
      </c>
      <c r="R11" s="212"/>
      <c r="S11" s="212">
        <v>0</v>
      </c>
      <c r="T11" s="212"/>
      <c r="U11" s="212">
        <v>0</v>
      </c>
      <c r="V11" s="212"/>
      <c r="W11" s="393"/>
      <c r="X11" s="212">
        <v>0</v>
      </c>
    </row>
    <row r="12" spans="1:24" ht="15.75" hidden="1" customHeight="1">
      <c r="A12" s="128"/>
      <c r="B12" s="129"/>
      <c r="C12" s="320"/>
      <c r="D12" s="351"/>
      <c r="E12" s="351"/>
      <c r="F12" s="351"/>
      <c r="G12" s="67">
        <f t="shared" si="1"/>
        <v>0</v>
      </c>
      <c r="H12" s="211"/>
      <c r="I12" s="351"/>
      <c r="J12" s="211"/>
      <c r="K12" s="212">
        <v>0</v>
      </c>
      <c r="L12" s="212"/>
      <c r="M12" s="212"/>
      <c r="N12" s="212"/>
      <c r="O12" s="212"/>
      <c r="P12" s="212"/>
      <c r="Q12" s="212"/>
      <c r="R12" s="212"/>
      <c r="S12" s="212"/>
      <c r="T12" s="212"/>
      <c r="U12" s="212"/>
      <c r="V12" s="212"/>
      <c r="W12" s="393"/>
      <c r="X12" s="212"/>
    </row>
    <row r="13" spans="1:24" ht="15.75" customHeight="1">
      <c r="A13" s="128" t="s">
        <v>441</v>
      </c>
      <c r="B13" s="128"/>
      <c r="C13" s="384">
        <f>SUM(C10:C12)</f>
        <v>0</v>
      </c>
      <c r="D13" s="354">
        <f t="shared" ref="D13:F13" si="3">SUM(D9:D12)</f>
        <v>3751</v>
      </c>
      <c r="E13" s="354">
        <f t="shared" si="3"/>
        <v>980</v>
      </c>
      <c r="F13" s="354">
        <f t="shared" si="3"/>
        <v>5720</v>
      </c>
      <c r="G13" s="353">
        <f t="shared" si="1"/>
        <v>5720</v>
      </c>
      <c r="H13" s="219"/>
      <c r="I13" s="354"/>
      <c r="J13" s="219"/>
      <c r="K13" s="355">
        <f t="shared" ref="K13:V13" si="4">SUM(K9:K12)</f>
        <v>500</v>
      </c>
      <c r="L13" s="355">
        <f t="shared" si="4"/>
        <v>2000</v>
      </c>
      <c r="M13" s="355">
        <f t="shared" si="4"/>
        <v>120</v>
      </c>
      <c r="N13" s="355">
        <f t="shared" si="4"/>
        <v>0</v>
      </c>
      <c r="O13" s="355">
        <f t="shared" si="4"/>
        <v>0</v>
      </c>
      <c r="P13" s="355">
        <f t="shared" si="4"/>
        <v>0</v>
      </c>
      <c r="Q13" s="355">
        <f t="shared" si="4"/>
        <v>500</v>
      </c>
      <c r="R13" s="355">
        <f t="shared" si="4"/>
        <v>0</v>
      </c>
      <c r="S13" s="355">
        <f t="shared" si="4"/>
        <v>0</v>
      </c>
      <c r="T13" s="355">
        <f t="shared" si="4"/>
        <v>0</v>
      </c>
      <c r="U13" s="355">
        <f t="shared" si="4"/>
        <v>0</v>
      </c>
      <c r="V13" s="355">
        <f t="shared" si="4"/>
        <v>2600</v>
      </c>
      <c r="W13" s="405"/>
      <c r="X13" s="355">
        <f>SUM(X9:X12)</f>
        <v>5720</v>
      </c>
    </row>
    <row r="14" spans="1:24" ht="15.75" customHeight="1">
      <c r="C14" s="328"/>
      <c r="D14" s="289"/>
      <c r="E14" s="289"/>
      <c r="F14" s="289"/>
      <c r="G14" s="289"/>
      <c r="H14" s="289"/>
      <c r="I14" s="289"/>
      <c r="J14" s="289"/>
      <c r="K14" s="289"/>
      <c r="L14" s="422"/>
      <c r="M14" s="289"/>
      <c r="N14" s="289"/>
      <c r="O14" s="289"/>
      <c r="P14" s="289"/>
      <c r="Q14" s="289"/>
      <c r="R14" s="289"/>
      <c r="S14" s="289"/>
      <c r="T14" s="289"/>
      <c r="U14" s="289"/>
      <c r="V14" s="289"/>
      <c r="W14" s="289"/>
      <c r="X14" s="289"/>
    </row>
    <row r="15" spans="1:24" ht="15.75" customHeight="1">
      <c r="C15" s="328"/>
      <c r="D15" s="289"/>
      <c r="E15" s="289"/>
      <c r="F15" s="289"/>
      <c r="G15" s="289"/>
      <c r="H15" s="289"/>
      <c r="I15" s="289"/>
      <c r="J15" s="289"/>
      <c r="K15" s="289"/>
      <c r="L15" s="422"/>
      <c r="M15" s="289"/>
      <c r="N15" s="289"/>
      <c r="O15" s="289"/>
      <c r="P15" s="289"/>
      <c r="Q15" s="289"/>
      <c r="R15" s="289"/>
      <c r="S15" s="289"/>
      <c r="T15" s="289"/>
      <c r="U15" s="289"/>
      <c r="V15" s="289"/>
      <c r="W15" s="289"/>
      <c r="X15" s="289"/>
    </row>
    <row r="16" spans="1:24" ht="15.75" customHeight="1">
      <c r="C16" s="328"/>
      <c r="D16" s="289"/>
      <c r="E16" s="289"/>
      <c r="F16" s="289"/>
      <c r="G16" s="289"/>
      <c r="H16" s="289"/>
      <c r="I16" s="289"/>
      <c r="J16" s="289"/>
      <c r="K16" s="289"/>
      <c r="L16" s="422"/>
      <c r="M16" s="289"/>
      <c r="N16" s="289"/>
      <c r="O16" s="289"/>
      <c r="P16" s="289"/>
      <c r="Q16" s="289"/>
      <c r="R16" s="289"/>
      <c r="S16" s="289"/>
      <c r="T16" s="289"/>
      <c r="U16" s="289"/>
      <c r="V16" s="289"/>
      <c r="W16" s="289"/>
      <c r="X16" s="289"/>
    </row>
    <row r="17" spans="3:24" ht="15.75" customHeight="1">
      <c r="C17" s="328"/>
      <c r="D17" s="289"/>
      <c r="E17" s="289"/>
      <c r="F17" s="289"/>
      <c r="G17" s="289"/>
      <c r="H17" s="289"/>
      <c r="I17" s="289"/>
      <c r="J17" s="289"/>
      <c r="K17" s="289"/>
      <c r="L17" s="422"/>
      <c r="M17" s="289"/>
      <c r="N17" s="289"/>
      <c r="O17" s="289"/>
      <c r="P17" s="289"/>
      <c r="Q17" s="289"/>
      <c r="R17" s="289"/>
      <c r="S17" s="289"/>
      <c r="T17" s="289"/>
      <c r="U17" s="289"/>
      <c r="V17" s="289"/>
      <c r="W17" s="289"/>
      <c r="X17" s="289"/>
    </row>
    <row r="18" spans="3:24" ht="15.75" customHeight="1">
      <c r="C18" s="328"/>
      <c r="D18" s="289"/>
      <c r="E18" s="289"/>
      <c r="F18" s="289"/>
      <c r="G18" s="289"/>
      <c r="H18" s="289"/>
      <c r="I18" s="289"/>
      <c r="J18" s="289"/>
      <c r="K18" s="289"/>
      <c r="L18" s="422"/>
      <c r="M18" s="289"/>
      <c r="N18" s="289"/>
      <c r="O18" s="289"/>
      <c r="P18" s="289"/>
      <c r="Q18" s="289"/>
      <c r="R18" s="289"/>
      <c r="S18" s="289"/>
      <c r="T18" s="289"/>
      <c r="U18" s="289"/>
      <c r="V18" s="289"/>
      <c r="W18" s="289"/>
      <c r="X18" s="289"/>
    </row>
    <row r="19" spans="3:24" ht="15.75" customHeight="1">
      <c r="C19" s="328"/>
      <c r="D19" s="289"/>
      <c r="E19" s="289"/>
      <c r="F19" s="289"/>
      <c r="G19" s="289"/>
      <c r="H19" s="289"/>
      <c r="I19" s="289"/>
      <c r="J19" s="289"/>
      <c r="K19" s="289"/>
      <c r="L19" s="422"/>
      <c r="M19" s="289"/>
      <c r="N19" s="289"/>
      <c r="O19" s="289"/>
      <c r="P19" s="289"/>
      <c r="Q19" s="289"/>
      <c r="R19" s="289"/>
      <c r="S19" s="289"/>
      <c r="T19" s="289"/>
      <c r="U19" s="289"/>
      <c r="V19" s="289"/>
      <c r="W19" s="289"/>
      <c r="X19" s="289"/>
    </row>
    <row r="20" spans="3:24" ht="15.75" customHeight="1">
      <c r="C20" s="328"/>
      <c r="D20" s="289"/>
      <c r="E20" s="289"/>
      <c r="F20" s="289"/>
      <c r="G20" s="289"/>
      <c r="H20" s="289"/>
      <c r="I20" s="289"/>
      <c r="J20" s="289"/>
      <c r="K20" s="289"/>
      <c r="L20" s="422"/>
      <c r="M20" s="289"/>
      <c r="N20" s="289"/>
      <c r="O20" s="289"/>
      <c r="P20" s="289"/>
      <c r="Q20" s="289"/>
      <c r="R20" s="289"/>
      <c r="S20" s="289"/>
      <c r="T20" s="289"/>
      <c r="U20" s="289"/>
      <c r="V20" s="289"/>
      <c r="W20" s="289"/>
      <c r="X20" s="289"/>
    </row>
    <row r="21" spans="3:24" ht="15.75" customHeight="1">
      <c r="C21" s="328"/>
      <c r="D21" s="289"/>
      <c r="E21" s="289"/>
      <c r="F21" s="289"/>
      <c r="G21" s="289"/>
      <c r="H21" s="289"/>
      <c r="I21" s="289"/>
      <c r="J21" s="289"/>
      <c r="K21" s="289"/>
      <c r="L21" s="422"/>
      <c r="M21" s="289"/>
      <c r="N21" s="289"/>
      <c r="O21" s="289"/>
      <c r="P21" s="289"/>
      <c r="Q21" s="289"/>
      <c r="R21" s="289"/>
      <c r="S21" s="289"/>
      <c r="T21" s="289"/>
      <c r="U21" s="289"/>
      <c r="V21" s="289"/>
      <c r="W21" s="289"/>
      <c r="X21" s="289"/>
    </row>
    <row r="22" spans="3:24" ht="15.75" customHeight="1">
      <c r="C22" s="328"/>
      <c r="D22" s="289"/>
      <c r="E22" s="289"/>
      <c r="F22" s="289"/>
      <c r="G22" s="289"/>
      <c r="H22" s="289"/>
      <c r="I22" s="289"/>
      <c r="J22" s="289"/>
      <c r="K22" s="289"/>
      <c r="L22" s="422"/>
      <c r="M22" s="289"/>
      <c r="N22" s="289"/>
      <c r="O22" s="289"/>
      <c r="P22" s="289"/>
      <c r="Q22" s="289"/>
      <c r="R22" s="289"/>
      <c r="S22" s="289"/>
      <c r="T22" s="289"/>
      <c r="U22" s="289"/>
      <c r="V22" s="289"/>
      <c r="W22" s="289"/>
      <c r="X22" s="289"/>
    </row>
    <row r="23" spans="3:24" ht="15.75" customHeight="1">
      <c r="C23" s="328"/>
      <c r="D23" s="289"/>
      <c r="E23" s="289"/>
      <c r="F23" s="289"/>
      <c r="G23" s="289"/>
      <c r="H23" s="289"/>
      <c r="I23" s="289"/>
      <c r="J23" s="289"/>
      <c r="K23" s="289"/>
      <c r="L23" s="422"/>
      <c r="M23" s="289"/>
      <c r="N23" s="289"/>
      <c r="O23" s="289"/>
      <c r="P23" s="289"/>
      <c r="Q23" s="289"/>
      <c r="R23" s="289"/>
      <c r="S23" s="289"/>
      <c r="T23" s="289"/>
      <c r="U23" s="289"/>
      <c r="V23" s="289"/>
      <c r="W23" s="289"/>
      <c r="X23" s="289"/>
    </row>
    <row r="24" spans="3:24" ht="15.75" customHeight="1">
      <c r="C24" s="328"/>
      <c r="D24" s="289"/>
      <c r="E24" s="289"/>
      <c r="F24" s="289"/>
      <c r="G24" s="289"/>
      <c r="H24" s="289"/>
      <c r="I24" s="289"/>
      <c r="J24" s="289"/>
      <c r="K24" s="289"/>
      <c r="L24" s="422"/>
      <c r="M24" s="289"/>
      <c r="N24" s="289"/>
      <c r="O24" s="289"/>
      <c r="P24" s="289"/>
      <c r="Q24" s="289"/>
      <c r="R24" s="289"/>
      <c r="S24" s="289"/>
      <c r="T24" s="289"/>
      <c r="U24" s="289"/>
      <c r="V24" s="289"/>
      <c r="W24" s="289"/>
      <c r="X24" s="289"/>
    </row>
    <row r="25" spans="3:24" ht="15.75" customHeight="1">
      <c r="C25" s="328"/>
      <c r="D25" s="289"/>
      <c r="E25" s="289"/>
      <c r="F25" s="289"/>
      <c r="G25" s="289"/>
      <c r="H25" s="289"/>
      <c r="I25" s="289"/>
      <c r="J25" s="289"/>
      <c r="K25" s="289"/>
      <c r="L25" s="422"/>
      <c r="M25" s="289"/>
      <c r="N25" s="289"/>
      <c r="O25" s="289"/>
      <c r="P25" s="289"/>
      <c r="Q25" s="289"/>
      <c r="R25" s="289"/>
      <c r="S25" s="289"/>
      <c r="T25" s="289"/>
      <c r="U25" s="289"/>
      <c r="V25" s="289"/>
      <c r="W25" s="289"/>
      <c r="X25" s="289"/>
    </row>
    <row r="26" spans="3:24" ht="15.75" customHeight="1">
      <c r="C26" s="328"/>
      <c r="D26" s="289"/>
      <c r="E26" s="289"/>
      <c r="F26" s="289"/>
      <c r="G26" s="289"/>
      <c r="H26" s="289"/>
      <c r="I26" s="289"/>
      <c r="J26" s="289"/>
      <c r="K26" s="289"/>
      <c r="L26" s="422"/>
      <c r="M26" s="289"/>
      <c r="N26" s="289"/>
      <c r="O26" s="289"/>
      <c r="P26" s="289"/>
      <c r="Q26" s="289"/>
      <c r="R26" s="289"/>
      <c r="S26" s="289"/>
      <c r="T26" s="289"/>
      <c r="U26" s="289"/>
      <c r="V26" s="289"/>
      <c r="W26" s="289"/>
      <c r="X26" s="289"/>
    </row>
    <row r="27" spans="3:24" ht="15.75" customHeight="1">
      <c r="C27" s="328"/>
      <c r="D27" s="289"/>
      <c r="E27" s="289"/>
      <c r="F27" s="289"/>
      <c r="G27" s="289"/>
      <c r="H27" s="289"/>
      <c r="I27" s="289"/>
      <c r="J27" s="289"/>
      <c r="K27" s="289"/>
      <c r="L27" s="422"/>
      <c r="M27" s="289"/>
      <c r="N27" s="289"/>
      <c r="O27" s="289"/>
      <c r="P27" s="289"/>
      <c r="Q27" s="289"/>
      <c r="R27" s="289"/>
      <c r="S27" s="289"/>
      <c r="T27" s="289"/>
      <c r="U27" s="289"/>
      <c r="V27" s="289"/>
      <c r="W27" s="289"/>
      <c r="X27" s="289"/>
    </row>
    <row r="28" spans="3:24" ht="15.75" customHeight="1">
      <c r="C28" s="328"/>
      <c r="D28" s="289"/>
      <c r="E28" s="289"/>
      <c r="F28" s="289"/>
      <c r="G28" s="289"/>
      <c r="H28" s="289"/>
      <c r="I28" s="289"/>
      <c r="J28" s="289"/>
      <c r="K28" s="289"/>
      <c r="L28" s="422"/>
      <c r="M28" s="289"/>
      <c r="N28" s="289"/>
      <c r="O28" s="289"/>
      <c r="P28" s="289"/>
      <c r="Q28" s="289"/>
      <c r="R28" s="289"/>
      <c r="S28" s="289"/>
      <c r="T28" s="289"/>
      <c r="U28" s="289"/>
      <c r="V28" s="289"/>
      <c r="W28" s="289"/>
      <c r="X28" s="289"/>
    </row>
    <row r="29" spans="3:24" ht="15.75" customHeight="1">
      <c r="C29" s="328"/>
      <c r="D29" s="289"/>
      <c r="E29" s="289"/>
      <c r="F29" s="289"/>
      <c r="G29" s="289"/>
      <c r="H29" s="289"/>
      <c r="I29" s="289"/>
      <c r="J29" s="289"/>
      <c r="K29" s="289"/>
      <c r="L29" s="422"/>
      <c r="M29" s="289"/>
      <c r="N29" s="289"/>
      <c r="O29" s="289"/>
      <c r="P29" s="289"/>
      <c r="Q29" s="289"/>
      <c r="R29" s="289"/>
      <c r="S29" s="289"/>
      <c r="T29" s="289"/>
      <c r="U29" s="289"/>
      <c r="V29" s="289"/>
      <c r="W29" s="289"/>
      <c r="X29" s="289"/>
    </row>
    <row r="30" spans="3:24" ht="15.75" customHeight="1">
      <c r="C30" s="328"/>
      <c r="D30" s="289"/>
      <c r="E30" s="289"/>
      <c r="F30" s="289"/>
      <c r="G30" s="289"/>
      <c r="H30" s="289"/>
      <c r="I30" s="289"/>
      <c r="J30" s="289"/>
      <c r="K30" s="289"/>
      <c r="L30" s="422"/>
      <c r="M30" s="289"/>
      <c r="N30" s="289"/>
      <c r="O30" s="289"/>
      <c r="P30" s="289"/>
      <c r="Q30" s="289"/>
      <c r="R30" s="289"/>
      <c r="S30" s="289"/>
      <c r="T30" s="289"/>
      <c r="U30" s="289"/>
      <c r="V30" s="289"/>
      <c r="W30" s="289"/>
      <c r="X30" s="289"/>
    </row>
    <row r="31" spans="3:24" ht="15.75" customHeight="1">
      <c r="C31" s="328"/>
      <c r="D31" s="289"/>
      <c r="E31" s="289"/>
      <c r="F31" s="289"/>
      <c r="G31" s="289"/>
      <c r="H31" s="289"/>
      <c r="I31" s="289"/>
      <c r="J31" s="289"/>
      <c r="K31" s="289"/>
      <c r="L31" s="422"/>
      <c r="M31" s="289"/>
      <c r="N31" s="289"/>
      <c r="O31" s="289"/>
      <c r="P31" s="289"/>
      <c r="Q31" s="289"/>
      <c r="R31" s="289"/>
      <c r="S31" s="289"/>
      <c r="T31" s="289"/>
      <c r="U31" s="289"/>
      <c r="V31" s="289"/>
      <c r="W31" s="289"/>
      <c r="X31" s="289"/>
    </row>
    <row r="32" spans="3:24" ht="15.75" customHeight="1">
      <c r="C32" s="328"/>
      <c r="D32" s="289"/>
      <c r="E32" s="289"/>
      <c r="F32" s="289"/>
      <c r="G32" s="289"/>
      <c r="H32" s="289"/>
      <c r="I32" s="289"/>
      <c r="J32" s="289"/>
      <c r="K32" s="289"/>
      <c r="L32" s="422"/>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422"/>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422"/>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422"/>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422"/>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422"/>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422"/>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422"/>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422"/>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422"/>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422"/>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422"/>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422"/>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422"/>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422"/>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422"/>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422"/>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422"/>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422"/>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422"/>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422"/>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422"/>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422"/>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422"/>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422"/>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422"/>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422"/>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422"/>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422"/>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422"/>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422"/>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422"/>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422"/>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422"/>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422"/>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422"/>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422"/>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422"/>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422"/>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422"/>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422"/>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422"/>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422"/>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422"/>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422"/>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422"/>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422"/>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422"/>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422"/>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422"/>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422"/>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422"/>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422"/>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422"/>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422"/>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422"/>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422"/>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422"/>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422"/>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422"/>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422"/>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422"/>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422"/>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422"/>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422"/>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422"/>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422"/>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422"/>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422"/>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422"/>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422"/>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422"/>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422"/>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422"/>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422"/>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422"/>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422"/>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422"/>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422"/>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422"/>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422"/>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422"/>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422"/>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422"/>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422"/>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422"/>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422"/>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422"/>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422"/>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422"/>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422"/>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422"/>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422"/>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422"/>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422"/>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422"/>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422"/>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422"/>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422"/>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422"/>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422"/>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422"/>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422"/>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422"/>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422"/>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422"/>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422"/>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422"/>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422"/>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422"/>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422"/>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422"/>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422"/>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422"/>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422"/>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422"/>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422"/>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422"/>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422"/>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422"/>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422"/>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422"/>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422"/>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422"/>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422"/>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422"/>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422"/>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422"/>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422"/>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422"/>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422"/>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422"/>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422"/>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422"/>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422"/>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422"/>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422"/>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422"/>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422"/>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422"/>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422"/>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422"/>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422"/>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422"/>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422"/>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422"/>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422"/>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422"/>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422"/>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422"/>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422"/>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422"/>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422"/>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422"/>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422"/>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422"/>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422"/>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422"/>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422"/>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422"/>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422"/>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422"/>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422"/>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422"/>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422"/>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422"/>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422"/>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422"/>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422"/>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422"/>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422"/>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422"/>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422"/>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422"/>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422"/>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422"/>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422"/>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422"/>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422"/>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422"/>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422"/>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422"/>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422"/>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422"/>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422"/>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422"/>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422"/>
      <c r="M218" s="289"/>
      <c r="N218" s="289"/>
      <c r="O218" s="289"/>
      <c r="P218" s="289"/>
      <c r="Q218" s="289"/>
      <c r="R218" s="289"/>
      <c r="S218" s="289"/>
      <c r="T218" s="289"/>
      <c r="U218" s="289"/>
      <c r="V218" s="289"/>
      <c r="W218" s="289"/>
      <c r="X218" s="289"/>
    </row>
    <row r="219" spans="3:24" ht="15.75" customHeight="1">
      <c r="C219" s="328"/>
      <c r="D219" s="289"/>
      <c r="E219" s="289"/>
      <c r="F219" s="289"/>
      <c r="G219" s="289"/>
      <c r="H219" s="289"/>
      <c r="I219" s="289"/>
      <c r="J219" s="289"/>
      <c r="K219" s="289"/>
      <c r="L219" s="422"/>
      <c r="M219" s="289"/>
      <c r="N219" s="289"/>
      <c r="O219" s="289"/>
      <c r="P219" s="289"/>
      <c r="Q219" s="289"/>
      <c r="R219" s="289"/>
      <c r="S219" s="289"/>
      <c r="T219" s="289"/>
      <c r="U219" s="289"/>
      <c r="V219" s="289"/>
      <c r="W219" s="289"/>
      <c r="X219" s="289"/>
    </row>
    <row r="220" spans="3:24" ht="15.75" customHeight="1"/>
    <row r="221" spans="3:24" ht="15.75" customHeight="1"/>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X1004"/>
  <sheetViews>
    <sheetView workbookViewId="0"/>
  </sheetViews>
  <sheetFormatPr defaultColWidth="12.5703125" defaultRowHeight="15" customHeight="1"/>
  <cols>
    <col min="1" max="1" width="6.140625" customWidth="1"/>
    <col min="2" max="2" width="18" customWidth="1"/>
    <col min="3" max="3" width="15.85546875" customWidth="1"/>
    <col min="4" max="4" width="14.42578125" customWidth="1"/>
    <col min="5" max="5" width="11.42578125" customWidth="1"/>
    <col min="6" max="6" width="10.42578125" customWidth="1"/>
    <col min="7" max="7" width="14.7109375" customWidth="1"/>
    <col min="8" max="8" width="1.7109375" customWidth="1"/>
    <col min="9" max="9" width="51.7109375" customWidth="1"/>
    <col min="10" max="10" width="1.8554687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42578125" customWidth="1"/>
    <col min="24" max="24" width="11.42578125" customWidth="1"/>
  </cols>
  <sheetData>
    <row r="1" spans="1:24" ht="15.75" customHeight="1">
      <c r="A1" s="128" t="s">
        <v>122</v>
      </c>
      <c r="B1" s="129"/>
      <c r="C1" s="129"/>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442</v>
      </c>
      <c r="B2" s="129"/>
      <c r="C2" s="129"/>
      <c r="D2" s="129"/>
      <c r="E2" s="129"/>
      <c r="F2" s="129"/>
      <c r="G2" s="129"/>
      <c r="H2" s="129"/>
      <c r="I2" s="129"/>
      <c r="J2" s="129"/>
      <c r="K2" s="129"/>
      <c r="L2" s="129"/>
      <c r="M2" s="129"/>
      <c r="N2" s="129"/>
      <c r="O2" s="129"/>
      <c r="P2" s="129"/>
      <c r="Q2" s="129"/>
      <c r="R2" s="129"/>
      <c r="S2" s="129"/>
      <c r="T2" s="129"/>
      <c r="U2" s="129"/>
      <c r="V2" s="129"/>
      <c r="W2" s="129"/>
      <c r="X2" s="129"/>
    </row>
    <row r="3" spans="1:24" ht="15.75" customHeight="1">
      <c r="A3" s="293"/>
      <c r="B3" s="457"/>
      <c r="C3" s="129"/>
      <c r="D3" s="129"/>
      <c r="E3" s="129"/>
      <c r="F3" s="129"/>
      <c r="G3" s="129"/>
      <c r="H3" s="129"/>
      <c r="I3" s="129"/>
      <c r="J3" s="129"/>
      <c r="K3" s="129"/>
      <c r="L3" s="129"/>
      <c r="M3" s="129"/>
      <c r="N3" s="129"/>
      <c r="O3" s="129"/>
      <c r="P3" s="129"/>
      <c r="Q3" s="129"/>
      <c r="R3" s="135"/>
      <c r="S3" s="135"/>
      <c r="T3" s="129"/>
      <c r="U3" s="129"/>
      <c r="V3" s="129"/>
      <c r="W3" s="129"/>
      <c r="X3" s="129"/>
    </row>
    <row r="4" spans="1:24" ht="38.25"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207"/>
      <c r="B5" s="207" t="s">
        <v>443</v>
      </c>
      <c r="C5" s="207">
        <v>0</v>
      </c>
      <c r="D5" s="210"/>
      <c r="E5" s="210"/>
      <c r="F5" s="210">
        <v>3000</v>
      </c>
      <c r="G5" s="210">
        <f t="shared" ref="G5:G8" si="0">F5-C5</f>
        <v>3000</v>
      </c>
      <c r="H5" s="249"/>
      <c r="I5" s="210" t="s">
        <v>444</v>
      </c>
      <c r="J5" s="249"/>
      <c r="K5" s="214"/>
      <c r="L5" s="214"/>
      <c r="M5" s="214"/>
      <c r="N5" s="214"/>
      <c r="O5" s="214"/>
      <c r="P5" s="214"/>
      <c r="Q5" s="214"/>
      <c r="R5" s="214">
        <f t="shared" ref="R5:U5" si="1">3000/4</f>
        <v>750</v>
      </c>
      <c r="S5" s="214">
        <f t="shared" si="1"/>
        <v>750</v>
      </c>
      <c r="T5" s="214">
        <f t="shared" si="1"/>
        <v>750</v>
      </c>
      <c r="U5" s="214">
        <f t="shared" si="1"/>
        <v>750</v>
      </c>
      <c r="V5" s="252"/>
      <c r="W5" s="214"/>
      <c r="X5" s="214">
        <f t="shared" ref="X5:X7" si="2">SUM(K5:V5)</f>
        <v>3000</v>
      </c>
    </row>
    <row r="6" spans="1:24" ht="15.75" customHeight="1">
      <c r="A6" s="207"/>
      <c r="B6" s="207" t="s">
        <v>445</v>
      </c>
      <c r="C6" s="207">
        <v>0</v>
      </c>
      <c r="D6" s="210"/>
      <c r="E6" s="210"/>
      <c r="F6" s="210">
        <v>3000</v>
      </c>
      <c r="G6" s="210">
        <f t="shared" si="0"/>
        <v>3000</v>
      </c>
      <c r="H6" s="249"/>
      <c r="I6" s="210" t="s">
        <v>446</v>
      </c>
      <c r="J6" s="249"/>
      <c r="K6" s="214"/>
      <c r="L6" s="214"/>
      <c r="M6" s="214"/>
      <c r="N6" s="214"/>
      <c r="O6" s="214">
        <v>3000</v>
      </c>
      <c r="P6" s="214"/>
      <c r="Q6" s="214"/>
      <c r="R6" s="214"/>
      <c r="S6" s="214"/>
      <c r="T6" s="214"/>
      <c r="U6" s="214"/>
      <c r="V6" s="252"/>
      <c r="W6" s="214"/>
      <c r="X6" s="214">
        <f t="shared" si="2"/>
        <v>3000</v>
      </c>
    </row>
    <row r="7" spans="1:24" ht="15.75" customHeight="1">
      <c r="A7" s="207"/>
      <c r="B7" s="207" t="s">
        <v>98</v>
      </c>
      <c r="C7" s="207">
        <v>0</v>
      </c>
      <c r="D7" s="210"/>
      <c r="E7" s="210"/>
      <c r="F7" s="210">
        <v>3000</v>
      </c>
      <c r="G7" s="210">
        <f t="shared" si="0"/>
        <v>3000</v>
      </c>
      <c r="H7" s="249"/>
      <c r="I7" s="210" t="s">
        <v>446</v>
      </c>
      <c r="J7" s="249"/>
      <c r="K7" s="469"/>
      <c r="L7" s="469">
        <f t="shared" ref="L7:U7" si="3">3000/10</f>
        <v>300</v>
      </c>
      <c r="M7" s="469">
        <f t="shared" si="3"/>
        <v>300</v>
      </c>
      <c r="N7" s="469">
        <f t="shared" si="3"/>
        <v>300</v>
      </c>
      <c r="O7" s="469">
        <f t="shared" si="3"/>
        <v>300</v>
      </c>
      <c r="P7" s="469">
        <f t="shared" si="3"/>
        <v>300</v>
      </c>
      <c r="Q7" s="469">
        <f t="shared" si="3"/>
        <v>300</v>
      </c>
      <c r="R7" s="469">
        <f t="shared" si="3"/>
        <v>300</v>
      </c>
      <c r="S7" s="469">
        <f t="shared" si="3"/>
        <v>300</v>
      </c>
      <c r="T7" s="469">
        <f t="shared" si="3"/>
        <v>300</v>
      </c>
      <c r="U7" s="469">
        <f t="shared" si="3"/>
        <v>300</v>
      </c>
      <c r="V7" s="470"/>
      <c r="W7" s="469"/>
      <c r="X7" s="469">
        <f t="shared" si="2"/>
        <v>3000</v>
      </c>
    </row>
    <row r="8" spans="1:24" ht="15.75" customHeight="1">
      <c r="A8" s="128" t="s">
        <v>153</v>
      </c>
      <c r="B8" s="128"/>
      <c r="C8" s="128">
        <f t="shared" ref="C8:F8" si="4">SUM(C5:C7)</f>
        <v>0</v>
      </c>
      <c r="D8" s="190">
        <f t="shared" si="4"/>
        <v>0</v>
      </c>
      <c r="E8" s="190">
        <f t="shared" si="4"/>
        <v>0</v>
      </c>
      <c r="F8" s="190">
        <f t="shared" si="4"/>
        <v>9000</v>
      </c>
      <c r="G8" s="190">
        <f t="shared" si="0"/>
        <v>9000</v>
      </c>
      <c r="H8" s="192"/>
      <c r="I8" s="190"/>
      <c r="J8" s="192"/>
      <c r="K8" s="471">
        <f t="shared" ref="K8:V8" si="5">SUM(K5:K7)</f>
        <v>0</v>
      </c>
      <c r="L8" s="471">
        <f t="shared" si="5"/>
        <v>300</v>
      </c>
      <c r="M8" s="471">
        <f t="shared" si="5"/>
        <v>300</v>
      </c>
      <c r="N8" s="471">
        <f t="shared" si="5"/>
        <v>300</v>
      </c>
      <c r="O8" s="471">
        <f t="shared" si="5"/>
        <v>3300</v>
      </c>
      <c r="P8" s="471">
        <f t="shared" si="5"/>
        <v>300</v>
      </c>
      <c r="Q8" s="471">
        <f t="shared" si="5"/>
        <v>300</v>
      </c>
      <c r="R8" s="471">
        <f t="shared" si="5"/>
        <v>1050</v>
      </c>
      <c r="S8" s="471">
        <f t="shared" si="5"/>
        <v>1050</v>
      </c>
      <c r="T8" s="471">
        <f t="shared" si="5"/>
        <v>1050</v>
      </c>
      <c r="U8" s="471">
        <f t="shared" si="5"/>
        <v>1050</v>
      </c>
      <c r="V8" s="471">
        <f t="shared" si="5"/>
        <v>0</v>
      </c>
      <c r="W8" s="472"/>
      <c r="X8" s="471">
        <f>SUM(X5:X7)</f>
        <v>9000</v>
      </c>
    </row>
    <row r="9" spans="1:24" ht="15.75" customHeight="1">
      <c r="A9" s="128"/>
      <c r="B9" s="129"/>
      <c r="C9" s="129"/>
      <c r="D9" s="135"/>
      <c r="E9" s="135"/>
      <c r="F9" s="135"/>
      <c r="G9" s="135"/>
      <c r="H9" s="135"/>
      <c r="I9" s="135"/>
      <c r="J9" s="135"/>
      <c r="K9" s="135"/>
      <c r="L9" s="135"/>
      <c r="M9" s="135"/>
      <c r="N9" s="135"/>
      <c r="O9" s="135"/>
      <c r="P9" s="135"/>
      <c r="Q9" s="135"/>
      <c r="R9" s="135"/>
      <c r="S9" s="135"/>
      <c r="T9" s="135"/>
      <c r="U9" s="135"/>
      <c r="V9" s="135"/>
      <c r="W9" s="135"/>
      <c r="X9" s="135"/>
    </row>
    <row r="10" spans="1:24" ht="36.75" customHeight="1">
      <c r="A10" s="128" t="s">
        <v>154</v>
      </c>
      <c r="B10" s="129"/>
      <c r="C10" s="137"/>
      <c r="D10" s="140"/>
      <c r="E10" s="140"/>
      <c r="F10" s="140"/>
      <c r="G10" s="140"/>
      <c r="H10" s="344"/>
      <c r="I10" s="344"/>
      <c r="J10" s="295"/>
      <c r="K10" s="295"/>
      <c r="L10" s="295"/>
      <c r="M10" s="295"/>
      <c r="N10" s="295"/>
      <c r="O10" s="295"/>
      <c r="P10" s="295"/>
      <c r="Q10" s="295"/>
      <c r="R10" s="295"/>
      <c r="S10" s="295"/>
      <c r="T10" s="295"/>
      <c r="U10" s="295"/>
      <c r="V10" s="295"/>
      <c r="W10" s="295"/>
      <c r="X10" s="295"/>
    </row>
    <row r="11" spans="1:24" ht="15.75" customHeight="1">
      <c r="A11" s="128"/>
      <c r="B11" s="128" t="s">
        <v>299</v>
      </c>
      <c r="C11" s="384">
        <f t="shared" ref="C11:F11" si="6">SUM(C12:C17)</f>
        <v>28000</v>
      </c>
      <c r="D11" s="311">
        <f t="shared" si="6"/>
        <v>8870.619999999999</v>
      </c>
      <c r="E11" s="311">
        <f t="shared" si="6"/>
        <v>19139</v>
      </c>
      <c r="F11" s="311">
        <f t="shared" si="6"/>
        <v>33900</v>
      </c>
      <c r="G11" s="311">
        <f t="shared" ref="G11:G18" si="7">F11-C11</f>
        <v>5900</v>
      </c>
      <c r="H11" s="219"/>
      <c r="I11" s="311"/>
      <c r="J11" s="219"/>
      <c r="K11" s="365">
        <f t="shared" ref="K11:V11" si="8">SUM(K12:K17)</f>
        <v>1000</v>
      </c>
      <c r="L11" s="365">
        <f t="shared" si="8"/>
        <v>7250</v>
      </c>
      <c r="M11" s="365">
        <f t="shared" si="8"/>
        <v>1650</v>
      </c>
      <c r="N11" s="365">
        <f t="shared" si="8"/>
        <v>3650</v>
      </c>
      <c r="O11" s="365">
        <f t="shared" si="8"/>
        <v>2350</v>
      </c>
      <c r="P11" s="365">
        <f t="shared" si="8"/>
        <v>2350</v>
      </c>
      <c r="Q11" s="365">
        <f t="shared" si="8"/>
        <v>9250</v>
      </c>
      <c r="R11" s="365">
        <f t="shared" si="8"/>
        <v>250</v>
      </c>
      <c r="S11" s="365">
        <f t="shared" si="8"/>
        <v>250</v>
      </c>
      <c r="T11" s="365">
        <f t="shared" si="8"/>
        <v>250</v>
      </c>
      <c r="U11" s="365">
        <f t="shared" si="8"/>
        <v>650</v>
      </c>
      <c r="V11" s="365">
        <f t="shared" si="8"/>
        <v>5000</v>
      </c>
      <c r="W11" s="402"/>
      <c r="X11" s="365">
        <f>SUM(X12:X17)</f>
        <v>33900</v>
      </c>
    </row>
    <row r="12" spans="1:24" ht="15.75" customHeight="1">
      <c r="A12" s="128"/>
      <c r="B12" s="129" t="s">
        <v>260</v>
      </c>
      <c r="C12" s="320">
        <v>11600</v>
      </c>
      <c r="D12" s="67">
        <v>8870.619999999999</v>
      </c>
      <c r="E12" s="67">
        <v>2739</v>
      </c>
      <c r="F12" s="67">
        <v>12000</v>
      </c>
      <c r="G12" s="351">
        <f t="shared" si="7"/>
        <v>400</v>
      </c>
      <c r="H12" s="317"/>
      <c r="I12" s="67"/>
      <c r="J12" s="317"/>
      <c r="K12" s="318">
        <v>1000</v>
      </c>
      <c r="L12" s="318">
        <v>1000</v>
      </c>
      <c r="M12" s="318">
        <v>1000</v>
      </c>
      <c r="N12" s="318">
        <v>400</v>
      </c>
      <c r="O12" s="318">
        <v>2100</v>
      </c>
      <c r="P12" s="318">
        <v>2100</v>
      </c>
      <c r="Q12" s="318">
        <v>3000</v>
      </c>
      <c r="R12" s="318"/>
      <c r="S12" s="318"/>
      <c r="T12" s="318"/>
      <c r="U12" s="318">
        <v>400</v>
      </c>
      <c r="V12" s="318">
        <v>1000</v>
      </c>
      <c r="W12" s="468"/>
      <c r="X12" s="318">
        <f t="shared" ref="X12:X17" si="9">SUM(K12:V12)</f>
        <v>12000</v>
      </c>
    </row>
    <row r="13" spans="1:24" ht="26.25" customHeight="1">
      <c r="A13" s="128"/>
      <c r="B13" s="207" t="s">
        <v>447</v>
      </c>
      <c r="C13" s="155">
        <v>0</v>
      </c>
      <c r="D13" s="473">
        <v>0</v>
      </c>
      <c r="E13" s="67"/>
      <c r="F13" s="67">
        <v>2500</v>
      </c>
      <c r="G13" s="351">
        <f t="shared" si="7"/>
        <v>2500</v>
      </c>
      <c r="H13" s="317"/>
      <c r="I13" s="357" t="s">
        <v>448</v>
      </c>
      <c r="J13" s="317"/>
      <c r="K13" s="318"/>
      <c r="L13" s="319">
        <f t="shared" ref="L13:U13" si="10">2500/10</f>
        <v>250</v>
      </c>
      <c r="M13" s="319">
        <f t="shared" si="10"/>
        <v>250</v>
      </c>
      <c r="N13" s="319">
        <f t="shared" si="10"/>
        <v>250</v>
      </c>
      <c r="O13" s="319">
        <f t="shared" si="10"/>
        <v>250</v>
      </c>
      <c r="P13" s="319">
        <f t="shared" si="10"/>
        <v>250</v>
      </c>
      <c r="Q13" s="319">
        <f t="shared" si="10"/>
        <v>250</v>
      </c>
      <c r="R13" s="319">
        <f t="shared" si="10"/>
        <v>250</v>
      </c>
      <c r="S13" s="319">
        <f t="shared" si="10"/>
        <v>250</v>
      </c>
      <c r="T13" s="319">
        <f t="shared" si="10"/>
        <v>250</v>
      </c>
      <c r="U13" s="319">
        <f t="shared" si="10"/>
        <v>250</v>
      </c>
      <c r="V13" s="319"/>
      <c r="W13" s="406"/>
      <c r="X13" s="318">
        <f t="shared" si="9"/>
        <v>2500</v>
      </c>
    </row>
    <row r="14" spans="1:24" ht="15.75" customHeight="1">
      <c r="A14" s="128"/>
      <c r="B14" s="129" t="s">
        <v>449</v>
      </c>
      <c r="C14" s="320">
        <f t="shared" ref="C14:F14" si="11">SUM(C15:C16)</f>
        <v>8000</v>
      </c>
      <c r="D14" s="474">
        <f t="shared" si="11"/>
        <v>0</v>
      </c>
      <c r="E14" s="474">
        <f t="shared" si="11"/>
        <v>8000</v>
      </c>
      <c r="F14" s="474">
        <f t="shared" si="11"/>
        <v>9500</v>
      </c>
      <c r="G14" s="367">
        <f t="shared" si="7"/>
        <v>1500</v>
      </c>
      <c r="H14" s="317"/>
      <c r="J14" s="317"/>
      <c r="K14" s="475">
        <f t="shared" ref="K14:V14" si="12">SUM(K15:K16)</f>
        <v>0</v>
      </c>
      <c r="L14" s="475">
        <f t="shared" si="12"/>
        <v>3000</v>
      </c>
      <c r="M14" s="475">
        <f t="shared" si="12"/>
        <v>0</v>
      </c>
      <c r="N14" s="475">
        <f t="shared" si="12"/>
        <v>1500</v>
      </c>
      <c r="O14" s="475">
        <f t="shared" si="12"/>
        <v>0</v>
      </c>
      <c r="P14" s="475">
        <f t="shared" si="12"/>
        <v>0</v>
      </c>
      <c r="Q14" s="475">
        <f t="shared" si="12"/>
        <v>3000</v>
      </c>
      <c r="R14" s="475">
        <f t="shared" si="12"/>
        <v>0</v>
      </c>
      <c r="S14" s="475">
        <f t="shared" si="12"/>
        <v>0</v>
      </c>
      <c r="T14" s="475">
        <f t="shared" si="12"/>
        <v>0</v>
      </c>
      <c r="U14" s="475">
        <f t="shared" si="12"/>
        <v>0</v>
      </c>
      <c r="V14" s="475">
        <f t="shared" si="12"/>
        <v>2000</v>
      </c>
      <c r="W14" s="406"/>
      <c r="X14" s="475">
        <f t="shared" si="9"/>
        <v>9500</v>
      </c>
    </row>
    <row r="15" spans="1:24" ht="15.75" customHeight="1">
      <c r="A15" s="128"/>
      <c r="B15" s="129" t="s">
        <v>450</v>
      </c>
      <c r="C15" s="320">
        <v>8000</v>
      </c>
      <c r="D15" s="67"/>
      <c r="E15" s="67">
        <v>8000</v>
      </c>
      <c r="F15" s="67">
        <v>8000</v>
      </c>
      <c r="G15" s="351">
        <f t="shared" si="7"/>
        <v>0</v>
      </c>
      <c r="H15" s="317"/>
      <c r="I15" s="316" t="s">
        <v>451</v>
      </c>
      <c r="J15" s="317"/>
      <c r="K15" s="318"/>
      <c r="L15" s="319">
        <v>3000</v>
      </c>
      <c r="M15" s="319"/>
      <c r="N15" s="319"/>
      <c r="O15" s="319"/>
      <c r="P15" s="319"/>
      <c r="Q15" s="319">
        <v>3000</v>
      </c>
      <c r="R15" s="319"/>
      <c r="S15" s="319"/>
      <c r="T15" s="319"/>
      <c r="U15" s="319"/>
      <c r="V15" s="319">
        <v>2000</v>
      </c>
      <c r="W15" s="406"/>
      <c r="X15" s="318">
        <f t="shared" si="9"/>
        <v>8000</v>
      </c>
    </row>
    <row r="16" spans="1:24" ht="15.75" customHeight="1">
      <c r="A16" s="128"/>
      <c r="B16" s="207" t="s">
        <v>452</v>
      </c>
      <c r="C16" s="320">
        <v>0</v>
      </c>
      <c r="D16" s="67">
        <v>0</v>
      </c>
      <c r="E16" s="67">
        <v>0</v>
      </c>
      <c r="F16" s="67">
        <v>1500</v>
      </c>
      <c r="G16" s="351">
        <f t="shared" si="7"/>
        <v>1500</v>
      </c>
      <c r="H16" s="317"/>
      <c r="I16" s="316" t="s">
        <v>453</v>
      </c>
      <c r="J16" s="317"/>
      <c r="K16" s="318"/>
      <c r="L16" s="319"/>
      <c r="M16" s="319"/>
      <c r="N16" s="319">
        <v>1500</v>
      </c>
      <c r="O16" s="319"/>
      <c r="P16" s="319"/>
      <c r="Q16" s="319"/>
      <c r="R16" s="319"/>
      <c r="S16" s="319"/>
      <c r="T16" s="319"/>
      <c r="U16" s="319"/>
      <c r="V16" s="319"/>
      <c r="W16" s="406"/>
      <c r="X16" s="318">
        <f t="shared" si="9"/>
        <v>1500</v>
      </c>
    </row>
    <row r="17" spans="1:24" ht="15.75" customHeight="1">
      <c r="A17" s="128"/>
      <c r="B17" s="129" t="s">
        <v>454</v>
      </c>
      <c r="C17" s="320">
        <v>400</v>
      </c>
      <c r="D17" s="67">
        <v>0</v>
      </c>
      <c r="E17" s="67">
        <v>400</v>
      </c>
      <c r="F17" s="67">
        <v>400</v>
      </c>
      <c r="G17" s="351">
        <f t="shared" si="7"/>
        <v>0</v>
      </c>
      <c r="H17" s="317"/>
      <c r="I17" s="67"/>
      <c r="J17" s="317"/>
      <c r="K17" s="318"/>
      <c r="L17" s="319"/>
      <c r="M17" s="319">
        <v>400</v>
      </c>
      <c r="N17" s="319"/>
      <c r="O17" s="319"/>
      <c r="P17" s="319"/>
      <c r="Q17" s="319"/>
      <c r="R17" s="319"/>
      <c r="S17" s="319"/>
      <c r="T17" s="319"/>
      <c r="U17" s="319"/>
      <c r="V17" s="319"/>
      <c r="W17" s="406"/>
      <c r="X17" s="318">
        <f t="shared" si="9"/>
        <v>400</v>
      </c>
    </row>
    <row r="18" spans="1:24" ht="15.75" customHeight="1">
      <c r="A18" s="128" t="s">
        <v>455</v>
      </c>
      <c r="B18" s="128"/>
      <c r="C18" s="384">
        <f>SUM(C12:C17)</f>
        <v>28000</v>
      </c>
      <c r="D18" s="354">
        <f t="shared" ref="D18:F18" si="13">D12+D13+D14+D17</f>
        <v>8870.619999999999</v>
      </c>
      <c r="E18" s="354">
        <f t="shared" si="13"/>
        <v>11139</v>
      </c>
      <c r="F18" s="354">
        <f t="shared" si="13"/>
        <v>24400</v>
      </c>
      <c r="G18" s="354">
        <f t="shared" si="7"/>
        <v>-3600</v>
      </c>
      <c r="H18" s="219"/>
      <c r="I18" s="354"/>
      <c r="J18" s="219"/>
      <c r="K18" s="354">
        <f t="shared" ref="K18:V18" si="14">K12+K13+K14+K17</f>
        <v>1000</v>
      </c>
      <c r="L18" s="354">
        <f t="shared" si="14"/>
        <v>4250</v>
      </c>
      <c r="M18" s="354">
        <f t="shared" si="14"/>
        <v>1650</v>
      </c>
      <c r="N18" s="354">
        <f t="shared" si="14"/>
        <v>2150</v>
      </c>
      <c r="O18" s="354">
        <f t="shared" si="14"/>
        <v>2350</v>
      </c>
      <c r="P18" s="354">
        <f t="shared" si="14"/>
        <v>2350</v>
      </c>
      <c r="Q18" s="354">
        <f t="shared" si="14"/>
        <v>6250</v>
      </c>
      <c r="R18" s="354">
        <f t="shared" si="14"/>
        <v>250</v>
      </c>
      <c r="S18" s="354">
        <f t="shared" si="14"/>
        <v>250</v>
      </c>
      <c r="T18" s="354">
        <f t="shared" si="14"/>
        <v>250</v>
      </c>
      <c r="U18" s="354">
        <f t="shared" si="14"/>
        <v>650</v>
      </c>
      <c r="V18" s="354">
        <f t="shared" si="14"/>
        <v>3000</v>
      </c>
      <c r="W18" s="394"/>
      <c r="X18" s="323">
        <f>X12+X13+X14+X17</f>
        <v>24400</v>
      </c>
    </row>
    <row r="19" spans="1:24" ht="15.75" customHeight="1">
      <c r="A19" s="129"/>
      <c r="B19" s="129"/>
      <c r="C19" s="129"/>
      <c r="D19" s="196"/>
      <c r="E19" s="196"/>
      <c r="F19" s="196"/>
      <c r="G19" s="196"/>
      <c r="H19" s="196"/>
      <c r="I19" s="196"/>
      <c r="J19" s="196"/>
      <c r="K19" s="196"/>
      <c r="L19" s="196"/>
      <c r="M19" s="196"/>
      <c r="N19" s="196"/>
      <c r="O19" s="196"/>
      <c r="P19" s="196"/>
      <c r="Q19" s="196"/>
      <c r="R19" s="196"/>
      <c r="S19" s="196"/>
      <c r="T19" s="196"/>
      <c r="U19" s="196"/>
      <c r="V19" s="196"/>
      <c r="W19" s="196"/>
      <c r="X19" s="196"/>
    </row>
    <row r="20" spans="1:24" ht="15.75" hidden="1" customHeight="1">
      <c r="A20" s="276" t="s">
        <v>291</v>
      </c>
      <c r="B20" s="129"/>
      <c r="C20" s="129"/>
      <c r="D20" s="277"/>
      <c r="E20" s="277"/>
      <c r="F20" s="277"/>
      <c r="G20" s="277"/>
      <c r="H20" s="277"/>
      <c r="I20" s="277"/>
      <c r="J20" s="277"/>
      <c r="K20" s="278">
        <f>K8-K18</f>
        <v>-1000</v>
      </c>
      <c r="L20" s="278"/>
      <c r="M20" s="278">
        <f>M8-M18</f>
        <v>-1350</v>
      </c>
      <c r="N20" s="278"/>
      <c r="O20" s="278">
        <f>O8-O18</f>
        <v>950</v>
      </c>
      <c r="P20" s="278"/>
      <c r="Q20" s="278">
        <f>Q8-Q18</f>
        <v>-5950</v>
      </c>
      <c r="R20" s="278"/>
      <c r="S20" s="278">
        <f>S8-S18</f>
        <v>800</v>
      </c>
      <c r="T20" s="278"/>
      <c r="U20" s="278">
        <f>U8-U18</f>
        <v>400</v>
      </c>
      <c r="V20" s="278"/>
      <c r="W20" s="278">
        <f t="shared" ref="W20:X20" si="15">W8-W18</f>
        <v>0</v>
      </c>
      <c r="X20" s="278">
        <f t="shared" si="15"/>
        <v>-15400</v>
      </c>
    </row>
    <row r="21" spans="1:24" ht="15.75" hidden="1" customHeight="1">
      <c r="A21" s="128"/>
      <c r="B21" s="129"/>
      <c r="C21" s="129"/>
      <c r="D21" s="129"/>
      <c r="E21" s="129"/>
      <c r="F21" s="129"/>
      <c r="G21" s="129"/>
      <c r="H21" s="129"/>
      <c r="I21" s="129"/>
      <c r="J21" s="129"/>
      <c r="K21" s="129"/>
      <c r="L21" s="129"/>
      <c r="M21" s="129"/>
      <c r="N21" s="129"/>
      <c r="O21" s="129"/>
      <c r="P21" s="129"/>
      <c r="Q21" s="129"/>
      <c r="R21" s="129"/>
      <c r="S21" s="129"/>
      <c r="T21" s="129"/>
      <c r="U21" s="129"/>
      <c r="V21" s="129"/>
      <c r="W21" s="129"/>
      <c r="X21" s="129"/>
    </row>
    <row r="22" spans="1:24" ht="15.75" hidden="1" customHeight="1">
      <c r="D22" s="289"/>
      <c r="E22" s="289"/>
      <c r="F22" s="289"/>
      <c r="G22" s="289"/>
      <c r="H22" s="289"/>
      <c r="I22" s="289"/>
      <c r="J22" s="289"/>
      <c r="K22" s="289"/>
      <c r="L22" s="289"/>
      <c r="M22" s="289"/>
      <c r="N22" s="289"/>
      <c r="O22" s="289"/>
      <c r="P22" s="289"/>
      <c r="Q22" s="289"/>
      <c r="R22" s="289"/>
      <c r="S22" s="289"/>
      <c r="T22" s="289"/>
      <c r="U22" s="289"/>
      <c r="V22" s="289"/>
      <c r="W22" s="289"/>
      <c r="X22" s="289"/>
    </row>
    <row r="23" spans="1:24" ht="15.75" hidden="1" customHeight="1">
      <c r="D23" s="289"/>
      <c r="E23" s="289"/>
      <c r="F23" s="289"/>
      <c r="G23" s="289"/>
      <c r="H23" s="289"/>
      <c r="I23" s="289"/>
      <c r="J23" s="289"/>
      <c r="K23" s="289"/>
      <c r="L23" s="289"/>
      <c r="M23" s="289"/>
      <c r="N23" s="289"/>
      <c r="O23" s="289"/>
      <c r="P23" s="289"/>
      <c r="Q23" s="289"/>
      <c r="R23" s="289"/>
      <c r="S23" s="289"/>
      <c r="T23" s="289"/>
      <c r="U23" s="289"/>
      <c r="V23" s="289"/>
      <c r="W23" s="289"/>
      <c r="X23" s="289"/>
    </row>
    <row r="24" spans="1:24" ht="15.75" hidden="1" customHeight="1">
      <c r="D24" s="289"/>
      <c r="E24" s="289"/>
      <c r="F24" s="289"/>
      <c r="G24" s="289"/>
      <c r="H24" s="289"/>
      <c r="I24" s="289"/>
      <c r="J24" s="289"/>
      <c r="K24" s="289"/>
      <c r="L24" s="289"/>
      <c r="M24" s="289"/>
      <c r="N24" s="289"/>
      <c r="O24" s="289"/>
      <c r="P24" s="289"/>
      <c r="Q24" s="289"/>
      <c r="R24" s="289"/>
      <c r="S24" s="289"/>
      <c r="T24" s="289"/>
      <c r="U24" s="289"/>
      <c r="V24" s="289"/>
      <c r="W24" s="289"/>
      <c r="X24" s="289"/>
    </row>
    <row r="25" spans="1:24" ht="15.75" hidden="1" customHeight="1">
      <c r="D25" s="289"/>
      <c r="E25" s="289"/>
      <c r="F25" s="289"/>
      <c r="G25" s="289"/>
      <c r="H25" s="289"/>
      <c r="I25" s="289"/>
      <c r="J25" s="289"/>
      <c r="K25" s="289"/>
      <c r="L25" s="289"/>
      <c r="M25" s="289"/>
      <c r="N25" s="289"/>
      <c r="O25" s="289"/>
      <c r="P25" s="289"/>
      <c r="Q25" s="289"/>
      <c r="R25" s="289"/>
      <c r="S25" s="289"/>
      <c r="T25" s="289"/>
      <c r="U25" s="289"/>
      <c r="V25" s="289"/>
      <c r="W25" s="289"/>
      <c r="X25" s="289"/>
    </row>
    <row r="26" spans="1:24" ht="15.75" hidden="1" customHeight="1">
      <c r="D26" s="289"/>
      <c r="E26" s="289"/>
      <c r="F26" s="289"/>
      <c r="G26" s="289"/>
      <c r="H26" s="289"/>
      <c r="I26" s="289"/>
      <c r="J26" s="289"/>
      <c r="K26" s="289"/>
      <c r="L26" s="289"/>
      <c r="M26" s="289"/>
      <c r="N26" s="289"/>
      <c r="O26" s="289"/>
      <c r="P26" s="289"/>
      <c r="Q26" s="289"/>
      <c r="R26" s="289"/>
      <c r="S26" s="289"/>
      <c r="T26" s="289"/>
      <c r="U26" s="289"/>
      <c r="V26" s="289"/>
      <c r="W26" s="289"/>
      <c r="X26" s="289"/>
    </row>
    <row r="27" spans="1:24" ht="15.75" hidden="1" customHeight="1">
      <c r="D27" s="289"/>
      <c r="E27" s="289"/>
      <c r="F27" s="289"/>
      <c r="G27" s="289"/>
      <c r="H27" s="289"/>
      <c r="I27" s="289"/>
      <c r="J27" s="289"/>
      <c r="K27" s="289"/>
      <c r="L27" s="289"/>
      <c r="M27" s="289"/>
      <c r="N27" s="289"/>
      <c r="O27" s="289"/>
      <c r="P27" s="289"/>
      <c r="Q27" s="289"/>
      <c r="R27" s="289"/>
      <c r="S27" s="289"/>
      <c r="T27" s="289"/>
      <c r="U27" s="289"/>
      <c r="V27" s="289"/>
      <c r="W27" s="289"/>
      <c r="X27" s="289"/>
    </row>
    <row r="28" spans="1:24" ht="15.75" customHeight="1">
      <c r="D28" s="289"/>
      <c r="E28" s="289"/>
      <c r="F28" s="289"/>
      <c r="G28" s="289"/>
      <c r="H28" s="289"/>
      <c r="I28" s="289"/>
      <c r="J28" s="289"/>
      <c r="K28" s="289"/>
      <c r="L28" s="289"/>
      <c r="M28" s="289"/>
      <c r="N28" s="289"/>
      <c r="O28" s="289"/>
      <c r="P28" s="289"/>
      <c r="Q28" s="289"/>
      <c r="R28" s="289"/>
      <c r="S28" s="289"/>
      <c r="T28" s="289"/>
      <c r="U28" s="289"/>
      <c r="V28" s="289"/>
      <c r="W28" s="289"/>
      <c r="X28" s="289"/>
    </row>
    <row r="29" spans="1:24" ht="15.75" customHeight="1">
      <c r="D29" s="289"/>
      <c r="E29" s="289"/>
      <c r="F29" s="289"/>
      <c r="G29" s="289"/>
      <c r="H29" s="289"/>
      <c r="I29" s="289"/>
      <c r="J29" s="289"/>
      <c r="K29" s="289"/>
      <c r="L29" s="289"/>
      <c r="M29" s="289"/>
      <c r="N29" s="289"/>
      <c r="O29" s="289"/>
      <c r="P29" s="289"/>
      <c r="Q29" s="289"/>
      <c r="R29" s="289"/>
      <c r="S29" s="289"/>
      <c r="T29" s="289"/>
      <c r="U29" s="289"/>
      <c r="V29" s="289"/>
      <c r="W29" s="289"/>
      <c r="X29" s="289"/>
    </row>
    <row r="30" spans="1:24" ht="15.75" customHeight="1">
      <c r="D30" s="289"/>
      <c r="E30" s="289"/>
      <c r="F30" s="289"/>
      <c r="G30" s="289"/>
      <c r="H30" s="289"/>
      <c r="I30" s="289"/>
      <c r="J30" s="289"/>
      <c r="K30" s="289"/>
      <c r="L30" s="289"/>
      <c r="M30" s="289"/>
      <c r="N30" s="289"/>
      <c r="O30" s="289"/>
      <c r="P30" s="289"/>
      <c r="Q30" s="289"/>
      <c r="R30" s="289"/>
      <c r="S30" s="289"/>
      <c r="T30" s="289"/>
      <c r="U30" s="289"/>
      <c r="V30" s="289"/>
      <c r="W30" s="289"/>
      <c r="X30" s="289"/>
    </row>
    <row r="31" spans="1:24" ht="15.75" customHeight="1">
      <c r="D31" s="289"/>
      <c r="E31" s="289"/>
      <c r="F31" s="289"/>
      <c r="G31" s="289"/>
      <c r="H31" s="289"/>
      <c r="I31" s="289"/>
      <c r="J31" s="289"/>
      <c r="K31" s="289"/>
      <c r="L31" s="289"/>
      <c r="M31" s="289"/>
      <c r="N31" s="289"/>
      <c r="O31" s="289"/>
      <c r="P31" s="289"/>
      <c r="Q31" s="289"/>
      <c r="R31" s="289"/>
      <c r="S31" s="289"/>
      <c r="T31" s="289"/>
      <c r="U31" s="289"/>
      <c r="V31" s="289"/>
      <c r="W31" s="289"/>
      <c r="X31" s="289"/>
    </row>
    <row r="32" spans="1:24" ht="15.75" customHeight="1">
      <c r="D32" s="289"/>
      <c r="E32" s="289"/>
      <c r="F32" s="289"/>
      <c r="G32" s="289"/>
      <c r="H32" s="289"/>
      <c r="I32" s="289"/>
      <c r="J32" s="289"/>
      <c r="K32" s="289"/>
      <c r="L32" s="289"/>
      <c r="M32" s="289"/>
      <c r="N32" s="289"/>
      <c r="O32" s="289"/>
      <c r="P32" s="289"/>
      <c r="Q32" s="289"/>
      <c r="R32" s="289"/>
      <c r="S32" s="289"/>
      <c r="T32" s="289"/>
      <c r="U32" s="289"/>
      <c r="V32" s="289"/>
      <c r="W32" s="289"/>
      <c r="X32" s="289"/>
    </row>
    <row r="33" spans="4:24" ht="15.75" customHeight="1">
      <c r="D33" s="289"/>
      <c r="E33" s="289"/>
      <c r="F33" s="289"/>
      <c r="G33" s="289"/>
      <c r="H33" s="289"/>
      <c r="I33" s="289"/>
      <c r="J33" s="289"/>
      <c r="K33" s="289"/>
      <c r="L33" s="289"/>
      <c r="M33" s="289"/>
      <c r="N33" s="289"/>
      <c r="O33" s="289"/>
      <c r="P33" s="289"/>
      <c r="Q33" s="289"/>
      <c r="R33" s="289"/>
      <c r="S33" s="289"/>
      <c r="T33" s="289"/>
      <c r="U33" s="289"/>
      <c r="V33" s="289"/>
      <c r="W33" s="289"/>
      <c r="X33" s="289"/>
    </row>
    <row r="34" spans="4:24" ht="15.75" customHeight="1">
      <c r="D34" s="289"/>
      <c r="E34" s="289"/>
      <c r="F34" s="289"/>
      <c r="G34" s="289"/>
      <c r="H34" s="289"/>
      <c r="I34" s="289"/>
      <c r="J34" s="289"/>
      <c r="K34" s="289"/>
      <c r="L34" s="289"/>
      <c r="M34" s="289"/>
      <c r="N34" s="289"/>
      <c r="O34" s="289"/>
      <c r="P34" s="289"/>
      <c r="Q34" s="289"/>
      <c r="R34" s="289"/>
      <c r="S34" s="289"/>
      <c r="T34" s="289"/>
      <c r="U34" s="289"/>
      <c r="V34" s="289"/>
      <c r="W34" s="289"/>
      <c r="X34" s="289"/>
    </row>
    <row r="35" spans="4:24" ht="15.75" customHeight="1">
      <c r="D35" s="289"/>
      <c r="E35" s="289"/>
      <c r="F35" s="289"/>
      <c r="G35" s="289"/>
      <c r="H35" s="289"/>
      <c r="I35" s="289"/>
      <c r="J35" s="289"/>
      <c r="K35" s="289"/>
      <c r="L35" s="289"/>
      <c r="M35" s="289"/>
      <c r="N35" s="289"/>
      <c r="O35" s="289"/>
      <c r="P35" s="289"/>
      <c r="Q35" s="289"/>
      <c r="R35" s="289"/>
      <c r="S35" s="289"/>
      <c r="T35" s="289"/>
      <c r="U35" s="289"/>
      <c r="V35" s="289"/>
      <c r="W35" s="289"/>
      <c r="X35" s="289"/>
    </row>
    <row r="36" spans="4:24" ht="15.75" customHeight="1">
      <c r="D36" s="289"/>
      <c r="E36" s="289"/>
      <c r="F36" s="289"/>
      <c r="G36" s="289"/>
      <c r="H36" s="289"/>
      <c r="I36" s="289"/>
      <c r="J36" s="289"/>
      <c r="K36" s="289"/>
      <c r="L36" s="289"/>
      <c r="M36" s="289"/>
      <c r="N36" s="289"/>
      <c r="O36" s="289"/>
      <c r="P36" s="289"/>
      <c r="Q36" s="289"/>
      <c r="R36" s="289"/>
      <c r="S36" s="289"/>
      <c r="T36" s="289"/>
      <c r="U36" s="289"/>
      <c r="V36" s="289"/>
      <c r="W36" s="289"/>
      <c r="X36" s="289"/>
    </row>
    <row r="37" spans="4:24" ht="15.75" customHeight="1">
      <c r="D37" s="289"/>
      <c r="E37" s="289"/>
      <c r="F37" s="289"/>
      <c r="G37" s="289"/>
      <c r="H37" s="289"/>
      <c r="I37" s="289"/>
      <c r="J37" s="289"/>
      <c r="K37" s="289"/>
      <c r="L37" s="289"/>
      <c r="M37" s="289"/>
      <c r="N37" s="289"/>
      <c r="O37" s="289"/>
      <c r="P37" s="289"/>
      <c r="Q37" s="289"/>
      <c r="R37" s="289"/>
      <c r="S37" s="289"/>
      <c r="T37" s="289"/>
      <c r="U37" s="289"/>
      <c r="V37" s="289"/>
      <c r="W37" s="289"/>
      <c r="X37" s="289"/>
    </row>
    <row r="38" spans="4:24" ht="15.75" customHeight="1">
      <c r="D38" s="289"/>
      <c r="E38" s="289"/>
      <c r="F38" s="289"/>
      <c r="G38" s="289"/>
      <c r="H38" s="289"/>
      <c r="I38" s="289"/>
      <c r="J38" s="289"/>
      <c r="K38" s="289"/>
      <c r="L38" s="289"/>
      <c r="M38" s="289"/>
      <c r="N38" s="289"/>
      <c r="O38" s="289"/>
      <c r="P38" s="289"/>
      <c r="Q38" s="289"/>
      <c r="R38" s="289"/>
      <c r="S38" s="289"/>
      <c r="T38" s="289"/>
      <c r="U38" s="289"/>
      <c r="V38" s="289"/>
      <c r="W38" s="289"/>
      <c r="X38" s="289"/>
    </row>
    <row r="39" spans="4:24" ht="15.75" customHeight="1">
      <c r="D39" s="289"/>
      <c r="E39" s="289"/>
      <c r="F39" s="289"/>
      <c r="G39" s="289"/>
      <c r="H39" s="289"/>
      <c r="I39" s="289"/>
      <c r="J39" s="289"/>
      <c r="K39" s="289"/>
      <c r="L39" s="289"/>
      <c r="M39" s="289"/>
      <c r="N39" s="289"/>
      <c r="O39" s="289"/>
      <c r="P39" s="289"/>
      <c r="Q39" s="289"/>
      <c r="R39" s="289"/>
      <c r="S39" s="289"/>
      <c r="T39" s="289"/>
      <c r="U39" s="289"/>
      <c r="V39" s="289"/>
      <c r="W39" s="289"/>
      <c r="X39" s="289"/>
    </row>
    <row r="40" spans="4:24" ht="15.75" customHeight="1">
      <c r="D40" s="289"/>
      <c r="E40" s="289"/>
      <c r="F40" s="289"/>
      <c r="G40" s="289"/>
      <c r="H40" s="289"/>
      <c r="I40" s="289"/>
      <c r="J40" s="289"/>
      <c r="K40" s="289"/>
      <c r="L40" s="289"/>
      <c r="M40" s="289"/>
      <c r="N40" s="289"/>
      <c r="O40" s="289"/>
      <c r="P40" s="289"/>
      <c r="Q40" s="289"/>
      <c r="R40" s="289"/>
      <c r="S40" s="289"/>
      <c r="T40" s="289"/>
      <c r="U40" s="289"/>
      <c r="V40" s="289"/>
      <c r="W40" s="289"/>
      <c r="X40" s="289"/>
    </row>
    <row r="41" spans="4:24" ht="15.75" customHeight="1">
      <c r="D41" s="289"/>
      <c r="E41" s="289"/>
      <c r="F41" s="289"/>
      <c r="G41" s="289"/>
      <c r="H41" s="289"/>
      <c r="I41" s="289"/>
      <c r="J41" s="289"/>
      <c r="K41" s="289"/>
      <c r="L41" s="289"/>
      <c r="M41" s="289"/>
      <c r="N41" s="289"/>
      <c r="O41" s="289"/>
      <c r="P41" s="289"/>
      <c r="Q41" s="289"/>
      <c r="R41" s="289"/>
      <c r="S41" s="289"/>
      <c r="T41" s="289"/>
      <c r="U41" s="289"/>
      <c r="V41" s="289"/>
      <c r="W41" s="289"/>
      <c r="X41" s="289"/>
    </row>
    <row r="42" spans="4:24" ht="15.75" customHeight="1">
      <c r="D42" s="289"/>
      <c r="E42" s="289"/>
      <c r="F42" s="289"/>
      <c r="G42" s="289"/>
      <c r="H42" s="289"/>
      <c r="I42" s="289"/>
      <c r="J42" s="289"/>
      <c r="K42" s="289"/>
      <c r="L42" s="289"/>
      <c r="M42" s="289"/>
      <c r="N42" s="289"/>
      <c r="O42" s="289"/>
      <c r="P42" s="289"/>
      <c r="Q42" s="289"/>
      <c r="R42" s="289"/>
      <c r="S42" s="289"/>
      <c r="T42" s="289"/>
      <c r="U42" s="289"/>
      <c r="V42" s="289"/>
      <c r="W42" s="289"/>
      <c r="X42" s="289"/>
    </row>
    <row r="43" spans="4:24" ht="15.75" customHeight="1">
      <c r="D43" s="289"/>
      <c r="E43" s="289"/>
      <c r="F43" s="289"/>
      <c r="G43" s="289"/>
      <c r="H43" s="289"/>
      <c r="I43" s="289"/>
      <c r="J43" s="289"/>
      <c r="K43" s="289"/>
      <c r="L43" s="289"/>
      <c r="M43" s="289"/>
      <c r="N43" s="289"/>
      <c r="O43" s="289"/>
      <c r="P43" s="289"/>
      <c r="Q43" s="289"/>
      <c r="R43" s="289"/>
      <c r="S43" s="289"/>
      <c r="T43" s="289"/>
      <c r="U43" s="289"/>
      <c r="V43" s="289"/>
      <c r="W43" s="289"/>
      <c r="X43" s="289"/>
    </row>
    <row r="44" spans="4:24" ht="15.75" customHeight="1">
      <c r="D44" s="289"/>
      <c r="E44" s="289"/>
      <c r="F44" s="289"/>
      <c r="G44" s="289"/>
      <c r="H44" s="289"/>
      <c r="I44" s="289"/>
      <c r="J44" s="289"/>
      <c r="K44" s="289"/>
      <c r="L44" s="289"/>
      <c r="M44" s="289"/>
      <c r="N44" s="289"/>
      <c r="O44" s="289"/>
      <c r="P44" s="289"/>
      <c r="Q44" s="289"/>
      <c r="R44" s="289"/>
      <c r="S44" s="289"/>
      <c r="T44" s="289"/>
      <c r="U44" s="289"/>
      <c r="V44" s="289"/>
      <c r="W44" s="289"/>
      <c r="X44" s="289"/>
    </row>
    <row r="45" spans="4:24" ht="15.75" customHeight="1">
      <c r="D45" s="289"/>
      <c r="E45" s="289"/>
      <c r="F45" s="289"/>
      <c r="G45" s="289"/>
      <c r="H45" s="289"/>
      <c r="I45" s="289"/>
      <c r="J45" s="289"/>
      <c r="K45" s="289"/>
      <c r="L45" s="289"/>
      <c r="M45" s="289"/>
      <c r="N45" s="289"/>
      <c r="O45" s="289"/>
      <c r="P45" s="289"/>
      <c r="Q45" s="289"/>
      <c r="R45" s="289"/>
      <c r="S45" s="289"/>
      <c r="T45" s="289"/>
      <c r="U45" s="289"/>
      <c r="V45" s="289"/>
      <c r="W45" s="289"/>
      <c r="X45" s="289"/>
    </row>
    <row r="46" spans="4:24" ht="15.75" customHeight="1">
      <c r="D46" s="289"/>
      <c r="E46" s="289"/>
      <c r="F46" s="289"/>
      <c r="G46" s="289"/>
      <c r="H46" s="289"/>
      <c r="I46" s="289"/>
      <c r="J46" s="289"/>
      <c r="K46" s="289"/>
      <c r="L46" s="289"/>
      <c r="M46" s="289"/>
      <c r="N46" s="289"/>
      <c r="O46" s="289"/>
      <c r="P46" s="289"/>
      <c r="Q46" s="289"/>
      <c r="R46" s="289"/>
      <c r="S46" s="289"/>
      <c r="T46" s="289"/>
      <c r="U46" s="289"/>
      <c r="V46" s="289"/>
      <c r="W46" s="289"/>
      <c r="X46" s="289"/>
    </row>
    <row r="47" spans="4:24" ht="15.75" customHeight="1">
      <c r="D47" s="289"/>
      <c r="E47" s="289"/>
      <c r="F47" s="289"/>
      <c r="G47" s="289"/>
      <c r="H47" s="289"/>
      <c r="I47" s="289"/>
      <c r="J47" s="289"/>
      <c r="K47" s="289"/>
      <c r="L47" s="289"/>
      <c r="M47" s="289"/>
      <c r="N47" s="289"/>
      <c r="O47" s="289"/>
      <c r="P47" s="289"/>
      <c r="Q47" s="289"/>
      <c r="R47" s="289"/>
      <c r="S47" s="289"/>
      <c r="T47" s="289"/>
      <c r="U47" s="289"/>
      <c r="V47" s="289"/>
      <c r="W47" s="289"/>
      <c r="X47" s="289"/>
    </row>
    <row r="48" spans="4:24" ht="15.75" customHeight="1">
      <c r="D48" s="289"/>
      <c r="E48" s="289"/>
      <c r="F48" s="289"/>
      <c r="G48" s="289"/>
      <c r="H48" s="289"/>
      <c r="I48" s="289"/>
      <c r="J48" s="289"/>
      <c r="K48" s="289"/>
      <c r="L48" s="289"/>
      <c r="M48" s="289"/>
      <c r="N48" s="289"/>
      <c r="O48" s="289"/>
      <c r="P48" s="289"/>
      <c r="Q48" s="289"/>
      <c r="R48" s="289"/>
      <c r="S48" s="289"/>
      <c r="T48" s="289"/>
      <c r="U48" s="289"/>
      <c r="V48" s="289"/>
      <c r="W48" s="289"/>
      <c r="X48" s="289"/>
    </row>
    <row r="49" spans="4:24" ht="15.75" customHeight="1">
      <c r="D49" s="289"/>
      <c r="E49" s="289"/>
      <c r="F49" s="289"/>
      <c r="G49" s="289"/>
      <c r="H49" s="289"/>
      <c r="I49" s="289"/>
      <c r="J49" s="289"/>
      <c r="K49" s="289"/>
      <c r="L49" s="289"/>
      <c r="M49" s="289"/>
      <c r="N49" s="289"/>
      <c r="O49" s="289"/>
      <c r="P49" s="289"/>
      <c r="Q49" s="289"/>
      <c r="R49" s="289"/>
      <c r="S49" s="289"/>
      <c r="T49" s="289"/>
      <c r="U49" s="289"/>
      <c r="V49" s="289"/>
      <c r="W49" s="289"/>
      <c r="X49" s="289"/>
    </row>
    <row r="50" spans="4:24" ht="15.75" customHeight="1">
      <c r="D50" s="289"/>
      <c r="E50" s="289"/>
      <c r="F50" s="289"/>
      <c r="G50" s="289"/>
      <c r="H50" s="289"/>
      <c r="I50" s="289"/>
      <c r="J50" s="289"/>
      <c r="K50" s="289"/>
      <c r="L50" s="289"/>
      <c r="M50" s="289"/>
      <c r="N50" s="289"/>
      <c r="O50" s="289"/>
      <c r="P50" s="289"/>
      <c r="Q50" s="289"/>
      <c r="R50" s="289"/>
      <c r="S50" s="289"/>
      <c r="T50" s="289"/>
      <c r="U50" s="289"/>
      <c r="V50" s="289"/>
      <c r="W50" s="289"/>
      <c r="X50" s="289"/>
    </row>
    <row r="51" spans="4:24" ht="15.75" customHeight="1">
      <c r="D51" s="289"/>
      <c r="E51" s="289"/>
      <c r="F51" s="289"/>
      <c r="G51" s="289"/>
      <c r="H51" s="289"/>
      <c r="I51" s="289"/>
      <c r="J51" s="289"/>
      <c r="K51" s="289"/>
      <c r="L51" s="289"/>
      <c r="M51" s="289"/>
      <c r="N51" s="289"/>
      <c r="O51" s="289"/>
      <c r="P51" s="289"/>
      <c r="Q51" s="289"/>
      <c r="R51" s="289"/>
      <c r="S51" s="289"/>
      <c r="T51" s="289"/>
      <c r="U51" s="289"/>
      <c r="V51" s="289"/>
      <c r="W51" s="289"/>
      <c r="X51" s="289"/>
    </row>
    <row r="52" spans="4:24" ht="15.75" customHeight="1">
      <c r="D52" s="289"/>
      <c r="E52" s="289"/>
      <c r="F52" s="289"/>
      <c r="G52" s="289"/>
      <c r="H52" s="289"/>
      <c r="I52" s="289"/>
      <c r="J52" s="289"/>
      <c r="K52" s="289"/>
      <c r="L52" s="289"/>
      <c r="M52" s="289"/>
      <c r="N52" s="289"/>
      <c r="O52" s="289"/>
      <c r="P52" s="289"/>
      <c r="Q52" s="289"/>
      <c r="R52" s="289"/>
      <c r="S52" s="289"/>
      <c r="T52" s="289"/>
      <c r="U52" s="289"/>
      <c r="V52" s="289"/>
      <c r="W52" s="289"/>
      <c r="X52" s="289"/>
    </row>
    <row r="53" spans="4:24" ht="15.75" customHeight="1">
      <c r="D53" s="289"/>
      <c r="E53" s="289"/>
      <c r="F53" s="289"/>
      <c r="G53" s="289"/>
      <c r="H53" s="289"/>
      <c r="I53" s="289"/>
      <c r="J53" s="289"/>
      <c r="K53" s="289"/>
      <c r="L53" s="289"/>
      <c r="M53" s="289"/>
      <c r="N53" s="289"/>
      <c r="O53" s="289"/>
      <c r="P53" s="289"/>
      <c r="Q53" s="289"/>
      <c r="R53" s="289"/>
      <c r="S53" s="289"/>
      <c r="T53" s="289"/>
      <c r="U53" s="289"/>
      <c r="V53" s="289"/>
      <c r="W53" s="289"/>
      <c r="X53" s="289"/>
    </row>
    <row r="54" spans="4:24" ht="15.75" customHeight="1">
      <c r="D54" s="289"/>
      <c r="E54" s="289"/>
      <c r="F54" s="289"/>
      <c r="G54" s="289"/>
      <c r="H54" s="289"/>
      <c r="I54" s="289"/>
      <c r="J54" s="289"/>
      <c r="K54" s="289"/>
      <c r="L54" s="289"/>
      <c r="M54" s="289"/>
      <c r="N54" s="289"/>
      <c r="O54" s="289"/>
      <c r="P54" s="289"/>
      <c r="Q54" s="289"/>
      <c r="R54" s="289"/>
      <c r="S54" s="289"/>
      <c r="T54" s="289"/>
      <c r="U54" s="289"/>
      <c r="V54" s="289"/>
      <c r="W54" s="289"/>
      <c r="X54" s="289"/>
    </row>
    <row r="55" spans="4:24" ht="15.75" customHeight="1">
      <c r="D55" s="289"/>
      <c r="E55" s="289"/>
      <c r="F55" s="289"/>
      <c r="G55" s="289"/>
      <c r="H55" s="289"/>
      <c r="I55" s="289"/>
      <c r="J55" s="289"/>
      <c r="K55" s="289"/>
      <c r="L55" s="289"/>
      <c r="M55" s="289"/>
      <c r="N55" s="289"/>
      <c r="O55" s="289"/>
      <c r="P55" s="289"/>
      <c r="Q55" s="289"/>
      <c r="R55" s="289"/>
      <c r="S55" s="289"/>
      <c r="T55" s="289"/>
      <c r="U55" s="289"/>
      <c r="V55" s="289"/>
      <c r="W55" s="289"/>
      <c r="X55" s="289"/>
    </row>
    <row r="56" spans="4:24" ht="15.75" customHeight="1">
      <c r="D56" s="289"/>
      <c r="E56" s="289"/>
      <c r="F56" s="289"/>
      <c r="G56" s="289"/>
      <c r="H56" s="289"/>
      <c r="I56" s="289"/>
      <c r="J56" s="289"/>
      <c r="K56" s="289"/>
      <c r="L56" s="289"/>
      <c r="M56" s="289"/>
      <c r="N56" s="289"/>
      <c r="O56" s="289"/>
      <c r="P56" s="289"/>
      <c r="Q56" s="289"/>
      <c r="R56" s="289"/>
      <c r="S56" s="289"/>
      <c r="T56" s="289"/>
      <c r="U56" s="289"/>
      <c r="V56" s="289"/>
      <c r="W56" s="289"/>
      <c r="X56" s="289"/>
    </row>
    <row r="57" spans="4:24" ht="15.75" customHeight="1">
      <c r="D57" s="289"/>
      <c r="E57" s="289"/>
      <c r="F57" s="289"/>
      <c r="G57" s="289"/>
      <c r="H57" s="289"/>
      <c r="I57" s="289"/>
      <c r="J57" s="289"/>
      <c r="K57" s="289"/>
      <c r="L57" s="289"/>
      <c r="M57" s="289"/>
      <c r="N57" s="289"/>
      <c r="O57" s="289"/>
      <c r="P57" s="289"/>
      <c r="Q57" s="289"/>
      <c r="R57" s="289"/>
      <c r="S57" s="289"/>
      <c r="T57" s="289"/>
      <c r="U57" s="289"/>
      <c r="V57" s="289"/>
      <c r="W57" s="289"/>
      <c r="X57" s="289"/>
    </row>
    <row r="58" spans="4:24" ht="15.75" customHeight="1">
      <c r="D58" s="289"/>
      <c r="E58" s="289"/>
      <c r="F58" s="289"/>
      <c r="G58" s="289"/>
      <c r="H58" s="289"/>
      <c r="I58" s="289"/>
      <c r="J58" s="289"/>
      <c r="K58" s="289"/>
      <c r="L58" s="289"/>
      <c r="M58" s="289"/>
      <c r="N58" s="289"/>
      <c r="O58" s="289"/>
      <c r="P58" s="289"/>
      <c r="Q58" s="289"/>
      <c r="R58" s="289"/>
      <c r="S58" s="289"/>
      <c r="T58" s="289"/>
      <c r="U58" s="289"/>
      <c r="V58" s="289"/>
      <c r="W58" s="289"/>
      <c r="X58" s="289"/>
    </row>
    <row r="59" spans="4:24" ht="15.75" customHeight="1">
      <c r="D59" s="289"/>
      <c r="E59" s="289"/>
      <c r="F59" s="289"/>
      <c r="G59" s="289"/>
      <c r="H59" s="289"/>
      <c r="I59" s="289"/>
      <c r="J59" s="289"/>
      <c r="K59" s="289"/>
      <c r="L59" s="289"/>
      <c r="M59" s="289"/>
      <c r="N59" s="289"/>
      <c r="O59" s="289"/>
      <c r="P59" s="289"/>
      <c r="Q59" s="289"/>
      <c r="R59" s="289"/>
      <c r="S59" s="289"/>
      <c r="T59" s="289"/>
      <c r="U59" s="289"/>
      <c r="V59" s="289"/>
      <c r="W59" s="289"/>
      <c r="X59" s="289"/>
    </row>
    <row r="60" spans="4:24" ht="15.75" customHeight="1">
      <c r="D60" s="289"/>
      <c r="E60" s="289"/>
      <c r="F60" s="289"/>
      <c r="G60" s="289"/>
      <c r="H60" s="289"/>
      <c r="I60" s="289"/>
      <c r="J60" s="289"/>
      <c r="K60" s="289"/>
      <c r="L60" s="289"/>
      <c r="M60" s="289"/>
      <c r="N60" s="289"/>
      <c r="O60" s="289"/>
      <c r="P60" s="289"/>
      <c r="Q60" s="289"/>
      <c r="R60" s="289"/>
      <c r="S60" s="289"/>
      <c r="T60" s="289"/>
      <c r="U60" s="289"/>
      <c r="V60" s="289"/>
      <c r="W60" s="289"/>
      <c r="X60" s="289"/>
    </row>
    <row r="61" spans="4:24" ht="15.75" customHeight="1">
      <c r="D61" s="289"/>
      <c r="E61" s="289"/>
      <c r="F61" s="289"/>
      <c r="G61" s="289"/>
      <c r="H61" s="289"/>
      <c r="I61" s="289"/>
      <c r="J61" s="289"/>
      <c r="K61" s="289"/>
      <c r="L61" s="289"/>
      <c r="M61" s="289"/>
      <c r="N61" s="289"/>
      <c r="O61" s="289"/>
      <c r="P61" s="289"/>
      <c r="Q61" s="289"/>
      <c r="R61" s="289"/>
      <c r="S61" s="289"/>
      <c r="T61" s="289"/>
      <c r="U61" s="289"/>
      <c r="V61" s="289"/>
      <c r="W61" s="289"/>
      <c r="X61" s="289"/>
    </row>
    <row r="62" spans="4:24" ht="15.75" customHeight="1">
      <c r="D62" s="289"/>
      <c r="E62" s="289"/>
      <c r="F62" s="289"/>
      <c r="G62" s="289"/>
      <c r="H62" s="289"/>
      <c r="I62" s="289"/>
      <c r="J62" s="289"/>
      <c r="K62" s="289"/>
      <c r="L62" s="289"/>
      <c r="M62" s="289"/>
      <c r="N62" s="289"/>
      <c r="O62" s="289"/>
      <c r="P62" s="289"/>
      <c r="Q62" s="289"/>
      <c r="R62" s="289"/>
      <c r="S62" s="289"/>
      <c r="T62" s="289"/>
      <c r="U62" s="289"/>
      <c r="V62" s="289"/>
      <c r="W62" s="289"/>
      <c r="X62" s="289"/>
    </row>
    <row r="63" spans="4:24" ht="15.75" customHeight="1">
      <c r="D63" s="289"/>
      <c r="E63" s="289"/>
      <c r="F63" s="289"/>
      <c r="G63" s="289"/>
      <c r="H63" s="289"/>
      <c r="I63" s="289"/>
      <c r="J63" s="289"/>
      <c r="K63" s="289"/>
      <c r="L63" s="289"/>
      <c r="M63" s="289"/>
      <c r="N63" s="289"/>
      <c r="O63" s="289"/>
      <c r="P63" s="289"/>
      <c r="Q63" s="289"/>
      <c r="R63" s="289"/>
      <c r="S63" s="289"/>
      <c r="T63" s="289"/>
      <c r="U63" s="289"/>
      <c r="V63" s="289"/>
      <c r="W63" s="289"/>
      <c r="X63" s="289"/>
    </row>
    <row r="64" spans="4:24" ht="15.75" customHeight="1">
      <c r="D64" s="289"/>
      <c r="E64" s="289"/>
      <c r="F64" s="289"/>
      <c r="G64" s="289"/>
      <c r="H64" s="289"/>
      <c r="I64" s="289"/>
      <c r="J64" s="289"/>
      <c r="K64" s="289"/>
      <c r="L64" s="289"/>
      <c r="M64" s="289"/>
      <c r="N64" s="289"/>
      <c r="O64" s="289"/>
      <c r="P64" s="289"/>
      <c r="Q64" s="289"/>
      <c r="R64" s="289"/>
      <c r="S64" s="289"/>
      <c r="T64" s="289"/>
      <c r="U64" s="289"/>
      <c r="V64" s="289"/>
      <c r="W64" s="289"/>
      <c r="X64" s="289"/>
    </row>
    <row r="65" spans="4:24" ht="15.75" customHeight="1">
      <c r="D65" s="289"/>
      <c r="E65" s="289"/>
      <c r="F65" s="289"/>
      <c r="G65" s="289"/>
      <c r="H65" s="289"/>
      <c r="I65" s="289"/>
      <c r="J65" s="289"/>
      <c r="K65" s="289"/>
      <c r="L65" s="289"/>
      <c r="M65" s="289"/>
      <c r="N65" s="289"/>
      <c r="O65" s="289"/>
      <c r="P65" s="289"/>
      <c r="Q65" s="289"/>
      <c r="R65" s="289"/>
      <c r="S65" s="289"/>
      <c r="T65" s="289"/>
      <c r="U65" s="289"/>
      <c r="V65" s="289"/>
      <c r="W65" s="289"/>
      <c r="X65" s="289"/>
    </row>
    <row r="66" spans="4:24" ht="15.75" customHeight="1">
      <c r="D66" s="289"/>
      <c r="E66" s="289"/>
      <c r="F66" s="289"/>
      <c r="G66" s="289"/>
      <c r="H66" s="289"/>
      <c r="I66" s="289"/>
      <c r="J66" s="289"/>
      <c r="K66" s="289"/>
      <c r="L66" s="289"/>
      <c r="M66" s="289"/>
      <c r="N66" s="289"/>
      <c r="O66" s="289"/>
      <c r="P66" s="289"/>
      <c r="Q66" s="289"/>
      <c r="R66" s="289"/>
      <c r="S66" s="289"/>
      <c r="T66" s="289"/>
      <c r="U66" s="289"/>
      <c r="V66" s="289"/>
      <c r="W66" s="289"/>
      <c r="X66" s="289"/>
    </row>
    <row r="67" spans="4:24" ht="15.75" customHeight="1">
      <c r="D67" s="289"/>
      <c r="E67" s="289"/>
      <c r="F67" s="289"/>
      <c r="G67" s="289"/>
      <c r="H67" s="289"/>
      <c r="I67" s="289"/>
      <c r="J67" s="289"/>
      <c r="K67" s="289"/>
      <c r="L67" s="289"/>
      <c r="M67" s="289"/>
      <c r="N67" s="289"/>
      <c r="O67" s="289"/>
      <c r="P67" s="289"/>
      <c r="Q67" s="289"/>
      <c r="R67" s="289"/>
      <c r="S67" s="289"/>
      <c r="T67" s="289"/>
      <c r="U67" s="289"/>
      <c r="V67" s="289"/>
      <c r="W67" s="289"/>
      <c r="X67" s="289"/>
    </row>
    <row r="68" spans="4:24" ht="15.75" customHeight="1">
      <c r="D68" s="289"/>
      <c r="E68" s="289"/>
      <c r="F68" s="289"/>
      <c r="G68" s="289"/>
      <c r="H68" s="289"/>
      <c r="I68" s="289"/>
      <c r="J68" s="289"/>
      <c r="K68" s="289"/>
      <c r="L68" s="289"/>
      <c r="M68" s="289"/>
      <c r="N68" s="289"/>
      <c r="O68" s="289"/>
      <c r="P68" s="289"/>
      <c r="Q68" s="289"/>
      <c r="R68" s="289"/>
      <c r="S68" s="289"/>
      <c r="T68" s="289"/>
      <c r="U68" s="289"/>
      <c r="V68" s="289"/>
      <c r="W68" s="289"/>
      <c r="X68" s="289"/>
    </row>
    <row r="69" spans="4:24" ht="15.75" customHeight="1">
      <c r="D69" s="289"/>
      <c r="E69" s="289"/>
      <c r="F69" s="289"/>
      <c r="G69" s="289"/>
      <c r="H69" s="289"/>
      <c r="I69" s="289"/>
      <c r="J69" s="289"/>
      <c r="K69" s="289"/>
      <c r="L69" s="289"/>
      <c r="M69" s="289"/>
      <c r="N69" s="289"/>
      <c r="O69" s="289"/>
      <c r="P69" s="289"/>
      <c r="Q69" s="289"/>
      <c r="R69" s="289"/>
      <c r="S69" s="289"/>
      <c r="T69" s="289"/>
      <c r="U69" s="289"/>
      <c r="V69" s="289"/>
      <c r="W69" s="289"/>
      <c r="X69" s="289"/>
    </row>
    <row r="70" spans="4:24" ht="15.75" customHeight="1">
      <c r="D70" s="289"/>
      <c r="E70" s="289"/>
      <c r="F70" s="289"/>
      <c r="G70" s="289"/>
      <c r="H70" s="289"/>
      <c r="I70" s="289"/>
      <c r="J70" s="289"/>
      <c r="K70" s="289"/>
      <c r="L70" s="289"/>
      <c r="M70" s="289"/>
      <c r="N70" s="289"/>
      <c r="O70" s="289"/>
      <c r="P70" s="289"/>
      <c r="Q70" s="289"/>
      <c r="R70" s="289"/>
      <c r="S70" s="289"/>
      <c r="T70" s="289"/>
      <c r="U70" s="289"/>
      <c r="V70" s="289"/>
      <c r="W70" s="289"/>
      <c r="X70" s="289"/>
    </row>
    <row r="71" spans="4:24" ht="15.75" customHeight="1">
      <c r="D71" s="289"/>
      <c r="E71" s="289"/>
      <c r="F71" s="289"/>
      <c r="G71" s="289"/>
      <c r="H71" s="289"/>
      <c r="I71" s="289"/>
      <c r="J71" s="289"/>
      <c r="K71" s="289"/>
      <c r="L71" s="289"/>
      <c r="M71" s="289"/>
      <c r="N71" s="289"/>
      <c r="O71" s="289"/>
      <c r="P71" s="289"/>
      <c r="Q71" s="289"/>
      <c r="R71" s="289"/>
      <c r="S71" s="289"/>
      <c r="T71" s="289"/>
      <c r="U71" s="289"/>
      <c r="V71" s="289"/>
      <c r="W71" s="289"/>
      <c r="X71" s="289"/>
    </row>
    <row r="72" spans="4:24" ht="15.75" customHeight="1">
      <c r="D72" s="289"/>
      <c r="E72" s="289"/>
      <c r="F72" s="289"/>
      <c r="G72" s="289"/>
      <c r="H72" s="289"/>
      <c r="I72" s="289"/>
      <c r="J72" s="289"/>
      <c r="K72" s="289"/>
      <c r="L72" s="289"/>
      <c r="M72" s="289"/>
      <c r="N72" s="289"/>
      <c r="O72" s="289"/>
      <c r="P72" s="289"/>
      <c r="Q72" s="289"/>
      <c r="R72" s="289"/>
      <c r="S72" s="289"/>
      <c r="T72" s="289"/>
      <c r="U72" s="289"/>
      <c r="V72" s="289"/>
      <c r="W72" s="289"/>
      <c r="X72" s="289"/>
    </row>
    <row r="73" spans="4:24" ht="15.75" customHeight="1">
      <c r="D73" s="289"/>
      <c r="E73" s="289"/>
      <c r="F73" s="289"/>
      <c r="G73" s="289"/>
      <c r="H73" s="289"/>
      <c r="I73" s="289"/>
      <c r="J73" s="289"/>
      <c r="K73" s="289"/>
      <c r="L73" s="289"/>
      <c r="M73" s="289"/>
      <c r="N73" s="289"/>
      <c r="O73" s="289"/>
      <c r="P73" s="289"/>
      <c r="Q73" s="289"/>
      <c r="R73" s="289"/>
      <c r="S73" s="289"/>
      <c r="T73" s="289"/>
      <c r="U73" s="289"/>
      <c r="V73" s="289"/>
      <c r="W73" s="289"/>
      <c r="X73" s="289"/>
    </row>
    <row r="74" spans="4:24" ht="15.75" customHeight="1">
      <c r="D74" s="289"/>
      <c r="E74" s="289"/>
      <c r="F74" s="289"/>
      <c r="G74" s="289"/>
      <c r="H74" s="289"/>
      <c r="I74" s="289"/>
      <c r="J74" s="289"/>
      <c r="K74" s="289"/>
      <c r="L74" s="289"/>
      <c r="M74" s="289"/>
      <c r="N74" s="289"/>
      <c r="O74" s="289"/>
      <c r="P74" s="289"/>
      <c r="Q74" s="289"/>
      <c r="R74" s="289"/>
      <c r="S74" s="289"/>
      <c r="T74" s="289"/>
      <c r="U74" s="289"/>
      <c r="V74" s="289"/>
      <c r="W74" s="289"/>
      <c r="X74" s="289"/>
    </row>
    <row r="75" spans="4:24" ht="15.75" customHeight="1">
      <c r="D75" s="289"/>
      <c r="E75" s="289"/>
      <c r="F75" s="289"/>
      <c r="G75" s="289"/>
      <c r="H75" s="289"/>
      <c r="I75" s="289"/>
      <c r="J75" s="289"/>
      <c r="K75" s="289"/>
      <c r="L75" s="289"/>
      <c r="M75" s="289"/>
      <c r="N75" s="289"/>
      <c r="O75" s="289"/>
      <c r="P75" s="289"/>
      <c r="Q75" s="289"/>
      <c r="R75" s="289"/>
      <c r="S75" s="289"/>
      <c r="T75" s="289"/>
      <c r="U75" s="289"/>
      <c r="V75" s="289"/>
      <c r="W75" s="289"/>
      <c r="X75" s="289"/>
    </row>
    <row r="76" spans="4:24" ht="15.75" customHeight="1">
      <c r="D76" s="289"/>
      <c r="E76" s="289"/>
      <c r="F76" s="289"/>
      <c r="G76" s="289"/>
      <c r="H76" s="289"/>
      <c r="I76" s="289"/>
      <c r="J76" s="289"/>
      <c r="K76" s="289"/>
      <c r="L76" s="289"/>
      <c r="M76" s="289"/>
      <c r="N76" s="289"/>
      <c r="O76" s="289"/>
      <c r="P76" s="289"/>
      <c r="Q76" s="289"/>
      <c r="R76" s="289"/>
      <c r="S76" s="289"/>
      <c r="T76" s="289"/>
      <c r="U76" s="289"/>
      <c r="V76" s="289"/>
      <c r="W76" s="289"/>
      <c r="X76" s="289"/>
    </row>
    <row r="77" spans="4:24" ht="15.75" customHeight="1">
      <c r="D77" s="289"/>
      <c r="E77" s="289"/>
      <c r="F77" s="289"/>
      <c r="G77" s="289"/>
      <c r="H77" s="289"/>
      <c r="I77" s="289"/>
      <c r="J77" s="289"/>
      <c r="K77" s="289"/>
      <c r="L77" s="289"/>
      <c r="M77" s="289"/>
      <c r="N77" s="289"/>
      <c r="O77" s="289"/>
      <c r="P77" s="289"/>
      <c r="Q77" s="289"/>
      <c r="R77" s="289"/>
      <c r="S77" s="289"/>
      <c r="T77" s="289"/>
      <c r="U77" s="289"/>
      <c r="V77" s="289"/>
      <c r="W77" s="289"/>
      <c r="X77" s="289"/>
    </row>
    <row r="78" spans="4:24" ht="15.75" customHeight="1">
      <c r="D78" s="289"/>
      <c r="E78" s="289"/>
      <c r="F78" s="289"/>
      <c r="G78" s="289"/>
      <c r="H78" s="289"/>
      <c r="I78" s="289"/>
      <c r="J78" s="289"/>
      <c r="K78" s="289"/>
      <c r="L78" s="289"/>
      <c r="M78" s="289"/>
      <c r="N78" s="289"/>
      <c r="O78" s="289"/>
      <c r="P78" s="289"/>
      <c r="Q78" s="289"/>
      <c r="R78" s="289"/>
      <c r="S78" s="289"/>
      <c r="T78" s="289"/>
      <c r="U78" s="289"/>
      <c r="V78" s="289"/>
      <c r="W78" s="289"/>
      <c r="X78" s="289"/>
    </row>
    <row r="79" spans="4:24" ht="15.75" customHeight="1">
      <c r="D79" s="289"/>
      <c r="E79" s="289"/>
      <c r="F79" s="289"/>
      <c r="G79" s="289"/>
      <c r="H79" s="289"/>
      <c r="I79" s="289"/>
      <c r="J79" s="289"/>
      <c r="K79" s="289"/>
      <c r="L79" s="289"/>
      <c r="M79" s="289"/>
      <c r="N79" s="289"/>
      <c r="O79" s="289"/>
      <c r="P79" s="289"/>
      <c r="Q79" s="289"/>
      <c r="R79" s="289"/>
      <c r="S79" s="289"/>
      <c r="T79" s="289"/>
      <c r="U79" s="289"/>
      <c r="V79" s="289"/>
      <c r="W79" s="289"/>
      <c r="X79" s="289"/>
    </row>
    <row r="80" spans="4:24" ht="15.75" customHeight="1">
      <c r="D80" s="289"/>
      <c r="E80" s="289"/>
      <c r="F80" s="289"/>
      <c r="G80" s="289"/>
      <c r="H80" s="289"/>
      <c r="I80" s="289"/>
      <c r="J80" s="289"/>
      <c r="K80" s="289"/>
      <c r="L80" s="289"/>
      <c r="M80" s="289"/>
      <c r="N80" s="289"/>
      <c r="O80" s="289"/>
      <c r="P80" s="289"/>
      <c r="Q80" s="289"/>
      <c r="R80" s="289"/>
      <c r="S80" s="289"/>
      <c r="T80" s="289"/>
      <c r="U80" s="289"/>
      <c r="V80" s="289"/>
      <c r="W80" s="289"/>
      <c r="X80" s="289"/>
    </row>
    <row r="81" spans="4:24" ht="15.75" customHeight="1">
      <c r="D81" s="289"/>
      <c r="E81" s="289"/>
      <c r="F81" s="289"/>
      <c r="G81" s="289"/>
      <c r="H81" s="289"/>
      <c r="I81" s="289"/>
      <c r="J81" s="289"/>
      <c r="K81" s="289"/>
      <c r="L81" s="289"/>
      <c r="M81" s="289"/>
      <c r="N81" s="289"/>
      <c r="O81" s="289"/>
      <c r="P81" s="289"/>
      <c r="Q81" s="289"/>
      <c r="R81" s="289"/>
      <c r="S81" s="289"/>
      <c r="T81" s="289"/>
      <c r="U81" s="289"/>
      <c r="V81" s="289"/>
      <c r="W81" s="289"/>
      <c r="X81" s="289"/>
    </row>
    <row r="82" spans="4:24" ht="15.75" customHeight="1">
      <c r="D82" s="289"/>
      <c r="E82" s="289"/>
      <c r="F82" s="289"/>
      <c r="G82" s="289"/>
      <c r="H82" s="289"/>
      <c r="I82" s="289"/>
      <c r="J82" s="289"/>
      <c r="K82" s="289"/>
      <c r="L82" s="289"/>
      <c r="M82" s="289"/>
      <c r="N82" s="289"/>
      <c r="O82" s="289"/>
      <c r="P82" s="289"/>
      <c r="Q82" s="289"/>
      <c r="R82" s="289"/>
      <c r="S82" s="289"/>
      <c r="T82" s="289"/>
      <c r="U82" s="289"/>
      <c r="V82" s="289"/>
      <c r="W82" s="289"/>
      <c r="X82" s="289"/>
    </row>
    <row r="83" spans="4:24" ht="15.75" customHeight="1">
      <c r="D83" s="289"/>
      <c r="E83" s="289"/>
      <c r="F83" s="289"/>
      <c r="G83" s="289"/>
      <c r="H83" s="289"/>
      <c r="I83" s="289"/>
      <c r="J83" s="289"/>
      <c r="K83" s="289"/>
      <c r="L83" s="289"/>
      <c r="M83" s="289"/>
      <c r="N83" s="289"/>
      <c r="O83" s="289"/>
      <c r="P83" s="289"/>
      <c r="Q83" s="289"/>
      <c r="R83" s="289"/>
      <c r="S83" s="289"/>
      <c r="T83" s="289"/>
      <c r="U83" s="289"/>
      <c r="V83" s="289"/>
      <c r="W83" s="289"/>
      <c r="X83" s="289"/>
    </row>
    <row r="84" spans="4:24" ht="15.75" customHeight="1">
      <c r="D84" s="289"/>
      <c r="E84" s="289"/>
      <c r="F84" s="289"/>
      <c r="G84" s="289"/>
      <c r="H84" s="289"/>
      <c r="I84" s="289"/>
      <c r="J84" s="289"/>
      <c r="K84" s="289"/>
      <c r="L84" s="289"/>
      <c r="M84" s="289"/>
      <c r="N84" s="289"/>
      <c r="O84" s="289"/>
      <c r="P84" s="289"/>
      <c r="Q84" s="289"/>
      <c r="R84" s="289"/>
      <c r="S84" s="289"/>
      <c r="T84" s="289"/>
      <c r="U84" s="289"/>
      <c r="V84" s="289"/>
      <c r="W84" s="289"/>
      <c r="X84" s="289"/>
    </row>
    <row r="85" spans="4:24" ht="15.75" customHeight="1">
      <c r="D85" s="289"/>
      <c r="E85" s="289"/>
      <c r="F85" s="289"/>
      <c r="G85" s="289"/>
      <c r="H85" s="289"/>
      <c r="I85" s="289"/>
      <c r="J85" s="289"/>
      <c r="K85" s="289"/>
      <c r="L85" s="289"/>
      <c r="M85" s="289"/>
      <c r="N85" s="289"/>
      <c r="O85" s="289"/>
      <c r="P85" s="289"/>
      <c r="Q85" s="289"/>
      <c r="R85" s="289"/>
      <c r="S85" s="289"/>
      <c r="T85" s="289"/>
      <c r="U85" s="289"/>
      <c r="V85" s="289"/>
      <c r="W85" s="289"/>
      <c r="X85" s="289"/>
    </row>
    <row r="86" spans="4:24" ht="15.75" customHeight="1">
      <c r="D86" s="289"/>
      <c r="E86" s="289"/>
      <c r="F86" s="289"/>
      <c r="G86" s="289"/>
      <c r="H86" s="289"/>
      <c r="I86" s="289"/>
      <c r="J86" s="289"/>
      <c r="K86" s="289"/>
      <c r="L86" s="289"/>
      <c r="M86" s="289"/>
      <c r="N86" s="289"/>
      <c r="O86" s="289"/>
      <c r="P86" s="289"/>
      <c r="Q86" s="289"/>
      <c r="R86" s="289"/>
      <c r="S86" s="289"/>
      <c r="T86" s="289"/>
      <c r="U86" s="289"/>
      <c r="V86" s="289"/>
      <c r="W86" s="289"/>
      <c r="X86" s="289"/>
    </row>
    <row r="87" spans="4:24" ht="15.75" customHeight="1">
      <c r="D87" s="289"/>
      <c r="E87" s="289"/>
      <c r="F87" s="289"/>
      <c r="G87" s="289"/>
      <c r="H87" s="289"/>
      <c r="I87" s="289"/>
      <c r="J87" s="289"/>
      <c r="K87" s="289"/>
      <c r="L87" s="289"/>
      <c r="M87" s="289"/>
      <c r="N87" s="289"/>
      <c r="O87" s="289"/>
      <c r="P87" s="289"/>
      <c r="Q87" s="289"/>
      <c r="R87" s="289"/>
      <c r="S87" s="289"/>
      <c r="T87" s="289"/>
      <c r="U87" s="289"/>
      <c r="V87" s="289"/>
      <c r="W87" s="289"/>
      <c r="X87" s="289"/>
    </row>
    <row r="88" spans="4:24" ht="15.75" customHeight="1">
      <c r="D88" s="289"/>
      <c r="E88" s="289"/>
      <c r="F88" s="289"/>
      <c r="G88" s="289"/>
      <c r="H88" s="289"/>
      <c r="I88" s="289"/>
      <c r="J88" s="289"/>
      <c r="K88" s="289"/>
      <c r="L88" s="289"/>
      <c r="M88" s="289"/>
      <c r="N88" s="289"/>
      <c r="O88" s="289"/>
      <c r="P88" s="289"/>
      <c r="Q88" s="289"/>
      <c r="R88" s="289"/>
      <c r="S88" s="289"/>
      <c r="T88" s="289"/>
      <c r="U88" s="289"/>
      <c r="V88" s="289"/>
      <c r="W88" s="289"/>
      <c r="X88" s="289"/>
    </row>
    <row r="89" spans="4:24" ht="15.75" customHeight="1">
      <c r="D89" s="289"/>
      <c r="E89" s="289"/>
      <c r="F89" s="289"/>
      <c r="G89" s="289"/>
      <c r="H89" s="289"/>
      <c r="I89" s="289"/>
      <c r="J89" s="289"/>
      <c r="K89" s="289"/>
      <c r="L89" s="289"/>
      <c r="M89" s="289"/>
      <c r="N89" s="289"/>
      <c r="O89" s="289"/>
      <c r="P89" s="289"/>
      <c r="Q89" s="289"/>
      <c r="R89" s="289"/>
      <c r="S89" s="289"/>
      <c r="T89" s="289"/>
      <c r="U89" s="289"/>
      <c r="V89" s="289"/>
      <c r="W89" s="289"/>
      <c r="X89" s="289"/>
    </row>
    <row r="90" spans="4:24" ht="15.75" customHeight="1">
      <c r="D90" s="289"/>
      <c r="E90" s="289"/>
      <c r="F90" s="289"/>
      <c r="G90" s="289"/>
      <c r="H90" s="289"/>
      <c r="I90" s="289"/>
      <c r="J90" s="289"/>
      <c r="K90" s="289"/>
      <c r="L90" s="289"/>
      <c r="M90" s="289"/>
      <c r="N90" s="289"/>
      <c r="O90" s="289"/>
      <c r="P90" s="289"/>
      <c r="Q90" s="289"/>
      <c r="R90" s="289"/>
      <c r="S90" s="289"/>
      <c r="T90" s="289"/>
      <c r="U90" s="289"/>
      <c r="V90" s="289"/>
      <c r="W90" s="289"/>
      <c r="X90" s="289"/>
    </row>
    <row r="91" spans="4:24" ht="15.75" customHeight="1">
      <c r="D91" s="289"/>
      <c r="E91" s="289"/>
      <c r="F91" s="289"/>
      <c r="G91" s="289"/>
      <c r="H91" s="289"/>
      <c r="I91" s="289"/>
      <c r="J91" s="289"/>
      <c r="K91" s="289"/>
      <c r="L91" s="289"/>
      <c r="M91" s="289"/>
      <c r="N91" s="289"/>
      <c r="O91" s="289"/>
      <c r="P91" s="289"/>
      <c r="Q91" s="289"/>
      <c r="R91" s="289"/>
      <c r="S91" s="289"/>
      <c r="T91" s="289"/>
      <c r="U91" s="289"/>
      <c r="V91" s="289"/>
      <c r="W91" s="289"/>
      <c r="X91" s="289"/>
    </row>
    <row r="92" spans="4:24" ht="15.75" customHeight="1">
      <c r="D92" s="289"/>
      <c r="E92" s="289"/>
      <c r="F92" s="289"/>
      <c r="G92" s="289"/>
      <c r="H92" s="289"/>
      <c r="I92" s="289"/>
      <c r="J92" s="289"/>
      <c r="K92" s="289"/>
      <c r="L92" s="289"/>
      <c r="M92" s="289"/>
      <c r="N92" s="289"/>
      <c r="O92" s="289"/>
      <c r="P92" s="289"/>
      <c r="Q92" s="289"/>
      <c r="R92" s="289"/>
      <c r="S92" s="289"/>
      <c r="T92" s="289"/>
      <c r="U92" s="289"/>
      <c r="V92" s="289"/>
      <c r="W92" s="289"/>
      <c r="X92" s="289"/>
    </row>
    <row r="93" spans="4:24" ht="15.75" customHeight="1">
      <c r="D93" s="289"/>
      <c r="E93" s="289"/>
      <c r="F93" s="289"/>
      <c r="G93" s="289"/>
      <c r="H93" s="289"/>
      <c r="I93" s="289"/>
      <c r="J93" s="289"/>
      <c r="K93" s="289"/>
      <c r="L93" s="289"/>
      <c r="M93" s="289"/>
      <c r="N93" s="289"/>
      <c r="O93" s="289"/>
      <c r="P93" s="289"/>
      <c r="Q93" s="289"/>
      <c r="R93" s="289"/>
      <c r="S93" s="289"/>
      <c r="T93" s="289"/>
      <c r="U93" s="289"/>
      <c r="V93" s="289"/>
      <c r="W93" s="289"/>
      <c r="X93" s="289"/>
    </row>
    <row r="94" spans="4:24" ht="15.75" customHeight="1">
      <c r="D94" s="289"/>
      <c r="E94" s="289"/>
      <c r="F94" s="289"/>
      <c r="G94" s="289"/>
      <c r="H94" s="289"/>
      <c r="I94" s="289"/>
      <c r="J94" s="289"/>
      <c r="K94" s="289"/>
      <c r="L94" s="289"/>
      <c r="M94" s="289"/>
      <c r="N94" s="289"/>
      <c r="O94" s="289"/>
      <c r="P94" s="289"/>
      <c r="Q94" s="289"/>
      <c r="R94" s="289"/>
      <c r="S94" s="289"/>
      <c r="T94" s="289"/>
      <c r="U94" s="289"/>
      <c r="V94" s="289"/>
      <c r="W94" s="289"/>
      <c r="X94" s="289"/>
    </row>
    <row r="95" spans="4:24" ht="15.75" customHeight="1">
      <c r="D95" s="289"/>
      <c r="E95" s="289"/>
      <c r="F95" s="289"/>
      <c r="G95" s="289"/>
      <c r="H95" s="289"/>
      <c r="I95" s="289"/>
      <c r="J95" s="289"/>
      <c r="K95" s="289"/>
      <c r="L95" s="289"/>
      <c r="M95" s="289"/>
      <c r="N95" s="289"/>
      <c r="O95" s="289"/>
      <c r="P95" s="289"/>
      <c r="Q95" s="289"/>
      <c r="R95" s="289"/>
      <c r="S95" s="289"/>
      <c r="T95" s="289"/>
      <c r="U95" s="289"/>
      <c r="V95" s="289"/>
      <c r="W95" s="289"/>
      <c r="X95" s="289"/>
    </row>
    <row r="96" spans="4:24" ht="15.75" customHeight="1">
      <c r="D96" s="289"/>
      <c r="E96" s="289"/>
      <c r="F96" s="289"/>
      <c r="G96" s="289"/>
      <c r="H96" s="289"/>
      <c r="I96" s="289"/>
      <c r="J96" s="289"/>
      <c r="K96" s="289"/>
      <c r="L96" s="289"/>
      <c r="M96" s="289"/>
      <c r="N96" s="289"/>
      <c r="O96" s="289"/>
      <c r="P96" s="289"/>
      <c r="Q96" s="289"/>
      <c r="R96" s="289"/>
      <c r="S96" s="289"/>
      <c r="T96" s="289"/>
      <c r="U96" s="289"/>
      <c r="V96" s="289"/>
      <c r="W96" s="289"/>
      <c r="X96" s="289"/>
    </row>
    <row r="97" spans="4:24" ht="15.75" customHeight="1">
      <c r="D97" s="289"/>
      <c r="E97" s="289"/>
      <c r="F97" s="289"/>
      <c r="G97" s="289"/>
      <c r="H97" s="289"/>
      <c r="I97" s="289"/>
      <c r="J97" s="289"/>
      <c r="K97" s="289"/>
      <c r="L97" s="289"/>
      <c r="M97" s="289"/>
      <c r="N97" s="289"/>
      <c r="O97" s="289"/>
      <c r="P97" s="289"/>
      <c r="Q97" s="289"/>
      <c r="R97" s="289"/>
      <c r="S97" s="289"/>
      <c r="T97" s="289"/>
      <c r="U97" s="289"/>
      <c r="V97" s="289"/>
      <c r="W97" s="289"/>
      <c r="X97" s="289"/>
    </row>
    <row r="98" spans="4:24" ht="15.75" customHeight="1">
      <c r="D98" s="289"/>
      <c r="E98" s="289"/>
      <c r="F98" s="289"/>
      <c r="G98" s="289"/>
      <c r="H98" s="289"/>
      <c r="I98" s="289"/>
      <c r="J98" s="289"/>
      <c r="K98" s="289"/>
      <c r="L98" s="289"/>
      <c r="M98" s="289"/>
      <c r="N98" s="289"/>
      <c r="O98" s="289"/>
      <c r="P98" s="289"/>
      <c r="Q98" s="289"/>
      <c r="R98" s="289"/>
      <c r="S98" s="289"/>
      <c r="T98" s="289"/>
      <c r="U98" s="289"/>
      <c r="V98" s="289"/>
      <c r="W98" s="289"/>
      <c r="X98" s="289"/>
    </row>
    <row r="99" spans="4:24" ht="15.75" customHeight="1">
      <c r="D99" s="289"/>
      <c r="E99" s="289"/>
      <c r="F99" s="289"/>
      <c r="G99" s="289"/>
      <c r="H99" s="289"/>
      <c r="I99" s="289"/>
      <c r="J99" s="289"/>
      <c r="K99" s="289"/>
      <c r="L99" s="289"/>
      <c r="M99" s="289"/>
      <c r="N99" s="289"/>
      <c r="O99" s="289"/>
      <c r="P99" s="289"/>
      <c r="Q99" s="289"/>
      <c r="R99" s="289"/>
      <c r="S99" s="289"/>
      <c r="T99" s="289"/>
      <c r="U99" s="289"/>
      <c r="V99" s="289"/>
      <c r="W99" s="289"/>
      <c r="X99" s="289"/>
    </row>
    <row r="100" spans="4:24" ht="15.75" customHeight="1">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4:24" ht="15.75" customHeight="1">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4:24" ht="15.75" customHeight="1">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4:24" ht="15.75" customHeight="1">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4:24" ht="15.75" customHeight="1">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4:24" ht="15.75" customHeight="1">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4:24" ht="15.75" customHeight="1">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4:24" ht="15.75" customHeight="1">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4:24" ht="15.75" customHeight="1">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4:24" ht="15.75" customHeight="1">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4:24" ht="15.75" customHeight="1">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4:24" ht="15.75" customHeight="1">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4:24" ht="15.75" customHeight="1">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4:24" ht="15.75" customHeight="1">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4:24" ht="15.75" customHeight="1">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4:24" ht="15.75" customHeight="1">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4:24" ht="15.75" customHeight="1">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4:24" ht="15.75" customHeight="1">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4:24" ht="15.75" customHeight="1">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4:24" ht="15.75" customHeight="1">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4:24" ht="15.75" customHeight="1">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4:24" ht="15.75" customHeight="1">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4:24" ht="15.75" customHeight="1">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4:24" ht="15.75" customHeight="1">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4:24" ht="15.75" customHeight="1">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4:24" ht="15.75" customHeight="1">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4:24" ht="15.75" customHeight="1">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4:24" ht="15.75" customHeight="1">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4:24" ht="15.75" customHeight="1">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4:24" ht="15.75" customHeight="1">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4:24" ht="15.75" customHeight="1">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4:24" ht="15.75" customHeight="1">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4:24" ht="15.75" customHeight="1">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4:24" ht="15.75" customHeight="1">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4:24" ht="15.75" customHeight="1">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4:24" ht="15.75" customHeight="1">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4:24" ht="15.75" customHeight="1">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4:24" ht="15.75" customHeight="1">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4:24" ht="15.75" customHeight="1">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4:24" ht="15.75" customHeight="1">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4:24" ht="15.75" customHeight="1">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4:24" ht="15.75" customHeight="1">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4:24" ht="15.75" customHeight="1">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4:24" ht="15.75" customHeight="1">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4:24" ht="15.75" customHeight="1">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4:24" ht="15.75" customHeight="1">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4:24" ht="15.75" customHeight="1">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4:24" ht="15.75" customHeight="1">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4:24" ht="15.75" customHeight="1">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4:24" ht="15.75" customHeight="1">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4:24" ht="15.75" customHeight="1">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4:24" ht="15.75" customHeight="1">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4:24" ht="15.75" customHeight="1">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4:24" ht="15.75" customHeight="1">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4:24" ht="15.75" customHeight="1">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4:24" ht="15.75" customHeight="1">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4:24" ht="15.75" customHeight="1">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4:24" ht="15.75" customHeight="1">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4:24" ht="15.75" customHeight="1">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4:24" ht="15.75" customHeight="1">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4:24" ht="15.75" customHeight="1">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4:24" ht="15.75" customHeight="1">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4:24" ht="15.75" customHeight="1">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4:24" ht="15.75" customHeight="1">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4:24" ht="15.75" customHeight="1">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4:24" ht="15.75" customHeight="1">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4:24" ht="15.75" customHeight="1">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4:24" ht="15.75" customHeight="1">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4:24" ht="15.75" customHeight="1">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4:24" ht="15.75" customHeight="1">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4:24" ht="15.75" customHeight="1">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4:24" ht="15.75" customHeight="1">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4:24" ht="15.75" customHeight="1">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4:24" ht="15.75" customHeight="1">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4:24" ht="15.75" customHeight="1">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4:24" ht="15.75" customHeight="1">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4:24" ht="15.75" customHeight="1">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4:24" ht="15.75" customHeight="1">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4:24" ht="15.75" customHeight="1">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4:24" ht="15.75" customHeight="1">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4:24" ht="15.75" customHeight="1">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4:24" ht="15.75" customHeight="1">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4:24" ht="15.75" customHeight="1">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4:24" ht="15.75" customHeight="1">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4:24" ht="15.75" customHeight="1">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4:24" ht="15.75" customHeight="1">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4:24" ht="15.75" customHeight="1">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4:24" ht="15.75" customHeight="1">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4:24" ht="15.75" customHeight="1">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4:24" ht="15.75" customHeight="1">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4:24" ht="15.75" customHeight="1">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4:24" ht="15.75" customHeight="1">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4:24" ht="15.75" customHeight="1">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4:24" ht="15.75" customHeight="1">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4:24" ht="15.75" customHeight="1">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4:24" ht="15.75" customHeight="1">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4:24" ht="15.75" customHeight="1">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4:24" ht="15.75" customHeight="1">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4:24" ht="15.75" customHeight="1">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4:24" ht="15.75" customHeight="1">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4:24" ht="15.75" customHeight="1">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4:24" ht="15.75" customHeight="1">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4:24" ht="15.75" customHeight="1">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4:24" ht="15.75" customHeight="1">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4:24" ht="15.75" customHeight="1">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4:24" ht="15.75" customHeight="1">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4:24" ht="15.75" customHeight="1">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4:24" ht="15.75" customHeight="1">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4:24" ht="15.75" customHeight="1">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4:24" ht="15.75" customHeight="1">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4:24" ht="15.75" customHeight="1">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4:24" ht="15.75" customHeight="1">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4:24" ht="15.75" customHeight="1">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4:24" ht="15.75" customHeight="1">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4:24" ht="15.75" customHeight="1">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4:24" ht="15.75" customHeight="1">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4:24" ht="15.75" customHeight="1">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4:24" ht="15.75" customHeight="1">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4:24" ht="15.75" customHeight="1">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4:24" ht="15.75" customHeight="1">
      <c r="D219" s="289"/>
      <c r="E219" s="289"/>
      <c r="F219" s="289"/>
      <c r="G219" s="289"/>
      <c r="H219" s="289"/>
      <c r="I219" s="289"/>
      <c r="J219" s="289"/>
      <c r="K219" s="289"/>
      <c r="L219" s="289"/>
      <c r="M219" s="289"/>
      <c r="N219" s="289"/>
      <c r="O219" s="289"/>
      <c r="P219" s="289"/>
      <c r="Q219" s="289"/>
      <c r="R219" s="289"/>
      <c r="S219" s="289"/>
      <c r="T219" s="289"/>
      <c r="U219" s="289"/>
      <c r="V219" s="289"/>
      <c r="W219" s="289"/>
      <c r="X219" s="289"/>
    </row>
    <row r="220" spans="4:24" ht="15.75" customHeight="1">
      <c r="D220" s="289"/>
      <c r="E220" s="289"/>
      <c r="F220" s="289"/>
      <c r="G220" s="289"/>
      <c r="H220" s="289"/>
      <c r="I220" s="289"/>
      <c r="J220" s="289"/>
      <c r="K220" s="289"/>
      <c r="L220" s="289"/>
      <c r="M220" s="289"/>
      <c r="N220" s="289"/>
      <c r="O220" s="289"/>
      <c r="P220" s="289"/>
      <c r="Q220" s="289"/>
      <c r="R220" s="289"/>
      <c r="S220" s="289"/>
      <c r="T220" s="289"/>
      <c r="U220" s="289"/>
      <c r="V220" s="289"/>
      <c r="W220" s="289"/>
      <c r="X220" s="289"/>
    </row>
    <row r="221" spans="4:24" ht="15.75" customHeight="1">
      <c r="D221" s="289"/>
      <c r="E221" s="289"/>
      <c r="F221" s="289"/>
      <c r="G221" s="289"/>
      <c r="H221" s="289"/>
      <c r="I221" s="289"/>
      <c r="J221" s="289"/>
      <c r="K221" s="289"/>
      <c r="L221" s="289"/>
      <c r="M221" s="289"/>
      <c r="N221" s="289"/>
      <c r="O221" s="289"/>
      <c r="P221" s="289"/>
      <c r="Q221" s="289"/>
      <c r="R221" s="289"/>
      <c r="S221" s="289"/>
      <c r="T221" s="289"/>
      <c r="U221" s="289"/>
      <c r="V221" s="289"/>
      <c r="W221" s="289"/>
      <c r="X221" s="289"/>
    </row>
    <row r="222" spans="4:24" ht="15.75" customHeight="1">
      <c r="D222" s="289"/>
      <c r="E222" s="289"/>
      <c r="F222" s="289"/>
      <c r="G222" s="289"/>
      <c r="H222" s="289"/>
      <c r="I222" s="289"/>
      <c r="J222" s="289"/>
      <c r="K222" s="289"/>
      <c r="L222" s="289"/>
      <c r="M222" s="289"/>
      <c r="N222" s="289"/>
      <c r="O222" s="289"/>
      <c r="P222" s="289"/>
      <c r="Q222" s="289"/>
      <c r="R222" s="289"/>
      <c r="S222" s="289"/>
      <c r="T222" s="289"/>
      <c r="U222" s="289"/>
      <c r="V222" s="289"/>
      <c r="W222" s="289"/>
      <c r="X222" s="289"/>
    </row>
    <row r="223" spans="4:24" ht="15.75" customHeight="1">
      <c r="D223" s="289"/>
      <c r="E223" s="289"/>
      <c r="F223" s="289"/>
      <c r="G223" s="289"/>
      <c r="H223" s="289"/>
      <c r="I223" s="289"/>
      <c r="J223" s="289"/>
      <c r="K223" s="289"/>
      <c r="L223" s="289"/>
      <c r="M223" s="289"/>
      <c r="N223" s="289"/>
      <c r="O223" s="289"/>
      <c r="P223" s="289"/>
      <c r="Q223" s="289"/>
      <c r="R223" s="289"/>
      <c r="S223" s="289"/>
      <c r="T223" s="289"/>
      <c r="U223" s="289"/>
      <c r="V223" s="289"/>
      <c r="W223" s="289"/>
      <c r="X223" s="289"/>
    </row>
    <row r="224" spans="4:24" ht="15.75" customHeight="1">
      <c r="D224" s="289"/>
      <c r="E224" s="289"/>
      <c r="F224" s="289"/>
      <c r="G224" s="289"/>
      <c r="H224" s="289"/>
      <c r="I224" s="289"/>
      <c r="J224" s="289"/>
      <c r="K224" s="289"/>
      <c r="L224" s="289"/>
      <c r="M224" s="289"/>
      <c r="N224" s="289"/>
      <c r="O224" s="289"/>
      <c r="P224" s="289"/>
      <c r="Q224" s="289"/>
      <c r="R224" s="289"/>
      <c r="S224" s="289"/>
      <c r="T224" s="289"/>
      <c r="U224" s="289"/>
      <c r="V224" s="289"/>
      <c r="W224" s="289"/>
      <c r="X224" s="289"/>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pageMargins left="0.7" right="0.7" top="0.75" bottom="0.75" header="0" footer="0"/>
  <pageSetup orientation="landscape"/>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X998"/>
  <sheetViews>
    <sheetView workbookViewId="0"/>
  </sheetViews>
  <sheetFormatPr defaultColWidth="12.5703125" defaultRowHeight="15" customHeight="1"/>
  <cols>
    <col min="1" max="1" width="4" customWidth="1"/>
    <col min="2" max="2" width="25.42578125" customWidth="1"/>
    <col min="3" max="3" width="13.5703125" customWidth="1"/>
    <col min="4" max="4" width="14.42578125" customWidth="1"/>
    <col min="5" max="6" width="14.140625" customWidth="1"/>
    <col min="7" max="7" width="14" customWidth="1"/>
    <col min="8" max="8" width="2.28515625" customWidth="1"/>
    <col min="9" max="9" width="41" customWidth="1"/>
    <col min="10" max="10" width="2.425781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42578125" customWidth="1"/>
    <col min="24" max="24" width="11.42578125" customWidth="1"/>
  </cols>
  <sheetData>
    <row r="1" spans="1:24" ht="15.75" customHeight="1">
      <c r="A1" s="128" t="s">
        <v>122</v>
      </c>
      <c r="B1" s="129"/>
      <c r="C1" s="292"/>
      <c r="D1" s="132"/>
      <c r="E1" s="132"/>
      <c r="F1" s="132"/>
      <c r="G1" s="210"/>
      <c r="H1" s="132"/>
      <c r="I1" s="132"/>
      <c r="J1" s="132"/>
      <c r="K1" s="132"/>
      <c r="L1" s="210"/>
      <c r="M1" s="130"/>
      <c r="N1" s="129"/>
      <c r="O1" s="129"/>
      <c r="P1" s="129"/>
      <c r="Q1" s="129"/>
      <c r="R1" s="129"/>
      <c r="S1" s="129"/>
      <c r="T1" s="129"/>
      <c r="U1" s="129"/>
      <c r="V1" s="129"/>
      <c r="W1" s="129"/>
      <c r="X1" s="129"/>
    </row>
    <row r="2" spans="1:24" ht="15.75" customHeight="1">
      <c r="A2" s="128" t="s">
        <v>456</v>
      </c>
      <c r="B2" s="129"/>
      <c r="C2" s="292"/>
      <c r="D2" s="132"/>
      <c r="E2" s="132"/>
      <c r="F2" s="132"/>
      <c r="G2" s="210"/>
      <c r="H2" s="132"/>
      <c r="I2" s="132"/>
      <c r="J2" s="132"/>
      <c r="K2" s="132"/>
      <c r="L2" s="132"/>
      <c r="M2" s="129"/>
      <c r="N2" s="129"/>
      <c r="O2" s="129"/>
      <c r="P2" s="129"/>
      <c r="Q2" s="129"/>
      <c r="R2" s="129"/>
      <c r="S2" s="129"/>
      <c r="T2" s="129"/>
      <c r="U2" s="129"/>
      <c r="V2" s="129"/>
      <c r="W2" s="129"/>
      <c r="X2" s="129"/>
    </row>
    <row r="3" spans="1:24" ht="15.75" customHeight="1">
      <c r="A3" s="293"/>
      <c r="B3" s="294"/>
      <c r="C3" s="292"/>
      <c r="D3" s="132"/>
      <c r="E3" s="132"/>
      <c r="F3" s="132"/>
      <c r="G3" s="210"/>
      <c r="H3" s="132"/>
      <c r="I3" s="132"/>
      <c r="J3" s="132"/>
      <c r="K3" s="132"/>
      <c r="L3" s="132"/>
      <c r="M3" s="129"/>
      <c r="N3" s="129"/>
      <c r="O3" s="129"/>
      <c r="P3" s="129"/>
      <c r="Q3" s="129"/>
      <c r="R3" s="135"/>
      <c r="S3" s="135"/>
      <c r="T3" s="129"/>
      <c r="U3" s="129"/>
      <c r="V3" s="129"/>
      <c r="W3" s="129"/>
      <c r="X3" s="129"/>
    </row>
    <row r="4" spans="1:24" ht="41.25" customHeight="1">
      <c r="A4" s="128" t="s">
        <v>126</v>
      </c>
      <c r="B4" s="129"/>
      <c r="C4" s="137" t="s">
        <v>127</v>
      </c>
      <c r="D4" s="140" t="s">
        <v>128</v>
      </c>
      <c r="E4" s="140" t="s">
        <v>129</v>
      </c>
      <c r="F4" s="140" t="s">
        <v>130</v>
      </c>
      <c r="G4" s="476"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128"/>
      <c r="B5" s="335" t="s">
        <v>457</v>
      </c>
      <c r="C5" s="335">
        <f t="shared" ref="C5:F5" si="0">SUM(C6:C7)</f>
        <v>200000</v>
      </c>
      <c r="D5" s="477">
        <f t="shared" si="0"/>
        <v>94890.3</v>
      </c>
      <c r="E5" s="477">
        <f t="shared" si="0"/>
        <v>100000</v>
      </c>
      <c r="F5" s="477">
        <f t="shared" si="0"/>
        <v>200000</v>
      </c>
      <c r="G5" s="311">
        <f t="shared" ref="G5:G8" si="1">F5-C5</f>
        <v>0</v>
      </c>
      <c r="H5" s="478"/>
      <c r="I5" s="479"/>
      <c r="J5" s="478"/>
      <c r="K5" s="480">
        <f t="shared" ref="K5:V5" si="2">SUM(K6:K7)</f>
        <v>10000</v>
      </c>
      <c r="L5" s="480">
        <f t="shared" si="2"/>
        <v>17000</v>
      </c>
      <c r="M5" s="480">
        <f t="shared" si="2"/>
        <v>15000</v>
      </c>
      <c r="N5" s="480">
        <f t="shared" si="2"/>
        <v>17000</v>
      </c>
      <c r="O5" s="480">
        <f t="shared" si="2"/>
        <v>35000</v>
      </c>
      <c r="P5" s="480">
        <f t="shared" si="2"/>
        <v>40000</v>
      </c>
      <c r="Q5" s="480">
        <f t="shared" si="2"/>
        <v>4000</v>
      </c>
      <c r="R5" s="480">
        <f t="shared" si="2"/>
        <v>4000</v>
      </c>
      <c r="S5" s="480">
        <f t="shared" si="2"/>
        <v>34000</v>
      </c>
      <c r="T5" s="480">
        <f t="shared" si="2"/>
        <v>6000</v>
      </c>
      <c r="U5" s="480">
        <f t="shared" si="2"/>
        <v>10000</v>
      </c>
      <c r="V5" s="480">
        <f t="shared" si="2"/>
        <v>8000</v>
      </c>
      <c r="W5" s="481"/>
      <c r="X5" s="480">
        <f>SUM(X6:X7)</f>
        <v>200000</v>
      </c>
    </row>
    <row r="6" spans="1:24" ht="15.75" customHeight="1">
      <c r="A6" s="128"/>
      <c r="B6" s="129" t="s">
        <v>458</v>
      </c>
      <c r="C6" s="292">
        <f>140000+30000</f>
        <v>170000</v>
      </c>
      <c r="D6" s="358">
        <v>94890.3</v>
      </c>
      <c r="E6" s="358">
        <v>70000</v>
      </c>
      <c r="F6" s="358">
        <v>170000</v>
      </c>
      <c r="G6" s="351">
        <f t="shared" si="1"/>
        <v>0</v>
      </c>
      <c r="H6" s="482"/>
      <c r="I6" s="358"/>
      <c r="J6" s="482"/>
      <c r="K6" s="359">
        <v>10000</v>
      </c>
      <c r="L6" s="361">
        <v>17000</v>
      </c>
      <c r="M6" s="361">
        <v>15000</v>
      </c>
      <c r="N6" s="361">
        <v>17000</v>
      </c>
      <c r="O6" s="361">
        <v>35000</v>
      </c>
      <c r="P6" s="361">
        <v>40000</v>
      </c>
      <c r="Q6" s="361">
        <v>4000</v>
      </c>
      <c r="R6" s="361">
        <v>4000</v>
      </c>
      <c r="S6" s="361">
        <v>4000</v>
      </c>
      <c r="T6" s="361">
        <v>6000</v>
      </c>
      <c r="U6" s="361">
        <v>10000</v>
      </c>
      <c r="V6" s="361">
        <v>8000</v>
      </c>
      <c r="W6" s="483"/>
      <c r="X6" s="361">
        <f t="shared" ref="X6:X7" si="3">SUM(K6:V6)</f>
        <v>170000</v>
      </c>
    </row>
    <row r="7" spans="1:24" ht="15.75" customHeight="1">
      <c r="A7" s="128"/>
      <c r="B7" s="129" t="s">
        <v>459</v>
      </c>
      <c r="C7" s="292">
        <v>30000</v>
      </c>
      <c r="D7" s="438">
        <v>0</v>
      </c>
      <c r="E7" s="438">
        <v>30000</v>
      </c>
      <c r="F7" s="438">
        <v>30000</v>
      </c>
      <c r="G7" s="351">
        <f t="shared" si="1"/>
        <v>0</v>
      </c>
      <c r="H7" s="484"/>
      <c r="I7" s="438"/>
      <c r="J7" s="484"/>
      <c r="K7" s="485">
        <v>0</v>
      </c>
      <c r="L7" s="485">
        <v>0</v>
      </c>
      <c r="M7" s="485">
        <v>0</v>
      </c>
      <c r="N7" s="485">
        <v>0</v>
      </c>
      <c r="O7" s="485">
        <v>0</v>
      </c>
      <c r="P7" s="485">
        <v>0</v>
      </c>
      <c r="Q7" s="485">
        <v>0</v>
      </c>
      <c r="R7" s="485">
        <v>0</v>
      </c>
      <c r="S7" s="485">
        <v>30000</v>
      </c>
      <c r="T7" s="485">
        <v>0</v>
      </c>
      <c r="U7" s="485">
        <v>0</v>
      </c>
      <c r="V7" s="485">
        <v>0</v>
      </c>
      <c r="W7" s="486"/>
      <c r="X7" s="361">
        <f t="shared" si="3"/>
        <v>30000</v>
      </c>
    </row>
    <row r="8" spans="1:24" ht="15.75" customHeight="1">
      <c r="A8" s="128" t="s">
        <v>153</v>
      </c>
      <c r="B8" s="128"/>
      <c r="C8" s="335">
        <f t="shared" ref="C8:F8" si="4">SUM(C6:C7)</f>
        <v>200000</v>
      </c>
      <c r="D8" s="190">
        <f t="shared" si="4"/>
        <v>94890.3</v>
      </c>
      <c r="E8" s="190">
        <f t="shared" si="4"/>
        <v>100000</v>
      </c>
      <c r="F8" s="190">
        <f t="shared" si="4"/>
        <v>200000</v>
      </c>
      <c r="G8" s="487">
        <f t="shared" si="1"/>
        <v>0</v>
      </c>
      <c r="H8" s="337"/>
      <c r="I8" s="488"/>
      <c r="J8" s="337"/>
      <c r="K8" s="339">
        <f t="shared" ref="K8:V8" si="5">K5</f>
        <v>10000</v>
      </c>
      <c r="L8" s="339">
        <f t="shared" si="5"/>
        <v>17000</v>
      </c>
      <c r="M8" s="339">
        <f t="shared" si="5"/>
        <v>15000</v>
      </c>
      <c r="N8" s="339">
        <f t="shared" si="5"/>
        <v>17000</v>
      </c>
      <c r="O8" s="339">
        <f t="shared" si="5"/>
        <v>35000</v>
      </c>
      <c r="P8" s="339">
        <f t="shared" si="5"/>
        <v>40000</v>
      </c>
      <c r="Q8" s="339">
        <f t="shared" si="5"/>
        <v>4000</v>
      </c>
      <c r="R8" s="339">
        <f t="shared" si="5"/>
        <v>4000</v>
      </c>
      <c r="S8" s="339">
        <f t="shared" si="5"/>
        <v>34000</v>
      </c>
      <c r="T8" s="339">
        <f t="shared" si="5"/>
        <v>6000</v>
      </c>
      <c r="U8" s="339">
        <f t="shared" si="5"/>
        <v>10000</v>
      </c>
      <c r="V8" s="339">
        <f t="shared" si="5"/>
        <v>8000</v>
      </c>
      <c r="W8" s="389"/>
      <c r="X8" s="339">
        <f>X5</f>
        <v>200000</v>
      </c>
    </row>
    <row r="9" spans="1:24" ht="15.75" customHeight="1">
      <c r="A9" s="128"/>
      <c r="B9" s="129"/>
      <c r="C9" s="292"/>
      <c r="D9" s="198"/>
      <c r="E9" s="198"/>
      <c r="F9" s="198"/>
      <c r="G9" s="210"/>
      <c r="H9" s="489"/>
      <c r="I9" s="198"/>
      <c r="J9" s="489"/>
      <c r="K9" s="198"/>
      <c r="L9" s="198"/>
      <c r="M9" s="135"/>
      <c r="N9" s="135"/>
      <c r="O9" s="135"/>
      <c r="P9" s="135"/>
      <c r="Q9" s="135"/>
      <c r="R9" s="135"/>
      <c r="S9" s="135"/>
      <c r="T9" s="135"/>
      <c r="U9" s="135"/>
      <c r="V9" s="135"/>
      <c r="W9" s="135"/>
      <c r="X9" s="135"/>
    </row>
    <row r="10" spans="1:24" ht="37.5" customHeight="1">
      <c r="A10" s="128" t="s">
        <v>154</v>
      </c>
      <c r="B10" s="129"/>
      <c r="C10" s="137"/>
      <c r="D10" s="140"/>
      <c r="E10" s="140"/>
      <c r="F10" s="140"/>
      <c r="G10" s="476"/>
      <c r="H10" s="489"/>
      <c r="I10" s="198"/>
      <c r="J10" s="489"/>
      <c r="K10" s="198"/>
      <c r="L10" s="198"/>
      <c r="M10" s="295"/>
      <c r="N10" s="295"/>
      <c r="O10" s="295"/>
      <c r="P10" s="295"/>
      <c r="Q10" s="295"/>
      <c r="R10" s="295"/>
      <c r="S10" s="295"/>
      <c r="T10" s="295"/>
      <c r="U10" s="295"/>
      <c r="V10" s="295"/>
      <c r="W10" s="295"/>
      <c r="X10" s="295"/>
    </row>
    <row r="11" spans="1:24" ht="15.75" customHeight="1">
      <c r="A11" s="128"/>
      <c r="B11" s="12" t="s">
        <v>460</v>
      </c>
      <c r="C11" s="490">
        <f t="shared" ref="C11:F11" si="6">SUM(C12:C15)</f>
        <v>31000</v>
      </c>
      <c r="D11" s="311">
        <f t="shared" si="6"/>
        <v>7624.4</v>
      </c>
      <c r="E11" s="311">
        <f t="shared" si="6"/>
        <v>20100</v>
      </c>
      <c r="F11" s="311">
        <f t="shared" si="6"/>
        <v>31000</v>
      </c>
      <c r="G11" s="311">
        <f t="shared" ref="G11:G16" si="7">F11-C11</f>
        <v>0</v>
      </c>
      <c r="H11" s="219"/>
      <c r="I11" s="314"/>
      <c r="J11" s="219"/>
      <c r="K11" s="365">
        <f t="shared" ref="K11:V11" si="8">SUM(K12:K15)</f>
        <v>0</v>
      </c>
      <c r="L11" s="365">
        <f t="shared" si="8"/>
        <v>4000</v>
      </c>
      <c r="M11" s="365">
        <f t="shared" si="8"/>
        <v>8000</v>
      </c>
      <c r="N11" s="365">
        <f t="shared" si="8"/>
        <v>1000</v>
      </c>
      <c r="O11" s="365">
        <f t="shared" si="8"/>
        <v>0</v>
      </c>
      <c r="P11" s="365">
        <f t="shared" si="8"/>
        <v>0</v>
      </c>
      <c r="Q11" s="365">
        <f t="shared" si="8"/>
        <v>5000</v>
      </c>
      <c r="R11" s="365">
        <f t="shared" si="8"/>
        <v>5000</v>
      </c>
      <c r="S11" s="365">
        <f t="shared" si="8"/>
        <v>5000</v>
      </c>
      <c r="T11" s="365">
        <f t="shared" si="8"/>
        <v>0</v>
      </c>
      <c r="U11" s="365">
        <f t="shared" si="8"/>
        <v>0</v>
      </c>
      <c r="V11" s="365">
        <f t="shared" si="8"/>
        <v>3000</v>
      </c>
      <c r="W11" s="402"/>
      <c r="X11" s="365">
        <f>SUM(X12:X15)</f>
        <v>31000</v>
      </c>
    </row>
    <row r="12" spans="1:24" ht="15.75" customHeight="1">
      <c r="A12" s="128"/>
      <c r="B12" s="129" t="s">
        <v>461</v>
      </c>
      <c r="C12" s="320">
        <v>6000</v>
      </c>
      <c r="D12" s="372">
        <v>0</v>
      </c>
      <c r="E12" s="372">
        <v>3000</v>
      </c>
      <c r="F12" s="372">
        <v>6000</v>
      </c>
      <c r="G12" s="351">
        <f t="shared" si="7"/>
        <v>0</v>
      </c>
      <c r="H12" s="491"/>
      <c r="I12" s="372"/>
      <c r="J12" s="491"/>
      <c r="K12" s="373">
        <v>0</v>
      </c>
      <c r="L12" s="376">
        <v>1000</v>
      </c>
      <c r="M12" s="376">
        <v>1000</v>
      </c>
      <c r="N12" s="376">
        <v>1000</v>
      </c>
      <c r="O12" s="373">
        <v>0</v>
      </c>
      <c r="P12" s="373">
        <v>0</v>
      </c>
      <c r="Q12" s="373">
        <v>0</v>
      </c>
      <c r="R12" s="373">
        <v>0</v>
      </c>
      <c r="S12" s="373">
        <v>0</v>
      </c>
      <c r="T12" s="373">
        <v>0</v>
      </c>
      <c r="U12" s="373">
        <v>0</v>
      </c>
      <c r="V12" s="376">
        <v>3000</v>
      </c>
      <c r="W12" s="492"/>
      <c r="X12" s="376">
        <f t="shared" ref="X12:X15" si="9">SUM(K12:V12)</f>
        <v>6000</v>
      </c>
    </row>
    <row r="13" spans="1:24" ht="15.75" customHeight="1">
      <c r="A13" s="128"/>
      <c r="B13" s="129" t="s">
        <v>459</v>
      </c>
      <c r="C13" s="320">
        <v>15000</v>
      </c>
      <c r="D13" s="372">
        <v>0</v>
      </c>
      <c r="E13" s="372">
        <v>15000</v>
      </c>
      <c r="F13" s="372">
        <v>15000</v>
      </c>
      <c r="G13" s="351">
        <f t="shared" si="7"/>
        <v>0</v>
      </c>
      <c r="H13" s="491"/>
      <c r="I13" s="372"/>
      <c r="J13" s="491"/>
      <c r="K13" s="373">
        <v>0</v>
      </c>
      <c r="L13" s="373">
        <v>0</v>
      </c>
      <c r="M13" s="373">
        <v>0</v>
      </c>
      <c r="N13" s="373">
        <v>0</v>
      </c>
      <c r="O13" s="373">
        <v>0</v>
      </c>
      <c r="P13" s="373">
        <v>0</v>
      </c>
      <c r="Q13" s="376">
        <v>5000</v>
      </c>
      <c r="R13" s="376">
        <v>5000</v>
      </c>
      <c r="S13" s="376">
        <v>5000</v>
      </c>
      <c r="T13" s="373">
        <v>0</v>
      </c>
      <c r="U13" s="373">
        <v>0</v>
      </c>
      <c r="V13" s="373">
        <v>0</v>
      </c>
      <c r="W13" s="492"/>
      <c r="X13" s="376">
        <f t="shared" si="9"/>
        <v>15000</v>
      </c>
    </row>
    <row r="14" spans="1:24" ht="15.75" customHeight="1">
      <c r="A14" s="128"/>
      <c r="B14" s="129" t="s">
        <v>462</v>
      </c>
      <c r="C14" s="320">
        <v>3000</v>
      </c>
      <c r="D14" s="372">
        <v>2734.02</v>
      </c>
      <c r="E14" s="372">
        <v>0</v>
      </c>
      <c r="F14" s="372">
        <v>3000</v>
      </c>
      <c r="G14" s="351">
        <f t="shared" si="7"/>
        <v>0</v>
      </c>
      <c r="H14" s="491"/>
      <c r="I14" s="372"/>
      <c r="J14" s="491"/>
      <c r="K14" s="373">
        <v>0</v>
      </c>
      <c r="L14" s="376">
        <v>3000</v>
      </c>
      <c r="M14" s="373">
        <v>0</v>
      </c>
      <c r="N14" s="373">
        <v>0</v>
      </c>
      <c r="O14" s="373">
        <v>0</v>
      </c>
      <c r="P14" s="373">
        <v>0</v>
      </c>
      <c r="Q14" s="373">
        <v>0</v>
      </c>
      <c r="R14" s="373">
        <v>0</v>
      </c>
      <c r="S14" s="373">
        <v>0</v>
      </c>
      <c r="T14" s="373">
        <v>0</v>
      </c>
      <c r="U14" s="373">
        <v>0</v>
      </c>
      <c r="V14" s="373">
        <v>0</v>
      </c>
      <c r="W14" s="492"/>
      <c r="X14" s="376">
        <f t="shared" si="9"/>
        <v>3000</v>
      </c>
    </row>
    <row r="15" spans="1:24" ht="15.75" customHeight="1">
      <c r="A15" s="128"/>
      <c r="B15" s="129" t="s">
        <v>463</v>
      </c>
      <c r="C15" s="320">
        <v>7000</v>
      </c>
      <c r="D15" s="372">
        <v>4890.38</v>
      </c>
      <c r="E15" s="372">
        <v>2100</v>
      </c>
      <c r="F15" s="372">
        <v>7000</v>
      </c>
      <c r="G15" s="351">
        <f t="shared" si="7"/>
        <v>0</v>
      </c>
      <c r="H15" s="491"/>
      <c r="I15" s="372"/>
      <c r="J15" s="491"/>
      <c r="K15" s="373">
        <v>0</v>
      </c>
      <c r="L15" s="373">
        <v>0</v>
      </c>
      <c r="M15" s="376">
        <v>7000</v>
      </c>
      <c r="N15" s="373">
        <v>0</v>
      </c>
      <c r="O15" s="373">
        <v>0</v>
      </c>
      <c r="P15" s="373">
        <v>0</v>
      </c>
      <c r="Q15" s="373">
        <v>0</v>
      </c>
      <c r="R15" s="373">
        <v>0</v>
      </c>
      <c r="S15" s="373">
        <v>0</v>
      </c>
      <c r="T15" s="373">
        <v>0</v>
      </c>
      <c r="U15" s="373">
        <v>0</v>
      </c>
      <c r="V15" s="373">
        <v>0</v>
      </c>
      <c r="W15" s="492"/>
      <c r="X15" s="376">
        <f t="shared" si="9"/>
        <v>7000</v>
      </c>
    </row>
    <row r="16" spans="1:24" ht="15.75" customHeight="1">
      <c r="A16" s="128" t="s">
        <v>464</v>
      </c>
      <c r="B16" s="128"/>
      <c r="C16" s="384">
        <f t="shared" ref="C16:F16" si="10">SUM(C12:C15)</f>
        <v>31000</v>
      </c>
      <c r="D16" s="354">
        <f t="shared" si="10"/>
        <v>7624.4</v>
      </c>
      <c r="E16" s="354">
        <f t="shared" si="10"/>
        <v>20100</v>
      </c>
      <c r="F16" s="354">
        <f t="shared" si="10"/>
        <v>31000</v>
      </c>
      <c r="G16" s="354">
        <f t="shared" si="7"/>
        <v>0</v>
      </c>
      <c r="H16" s="219"/>
      <c r="I16" s="314"/>
      <c r="J16" s="219"/>
      <c r="K16" s="323">
        <f t="shared" ref="K16:V16" si="11">K11</f>
        <v>0</v>
      </c>
      <c r="L16" s="323">
        <f t="shared" si="11"/>
        <v>4000</v>
      </c>
      <c r="M16" s="323">
        <f t="shared" si="11"/>
        <v>8000</v>
      </c>
      <c r="N16" s="323">
        <f t="shared" si="11"/>
        <v>1000</v>
      </c>
      <c r="O16" s="323">
        <f t="shared" si="11"/>
        <v>0</v>
      </c>
      <c r="P16" s="323">
        <f t="shared" si="11"/>
        <v>0</v>
      </c>
      <c r="Q16" s="323">
        <f t="shared" si="11"/>
        <v>5000</v>
      </c>
      <c r="R16" s="323">
        <f t="shared" si="11"/>
        <v>5000</v>
      </c>
      <c r="S16" s="323">
        <f t="shared" si="11"/>
        <v>5000</v>
      </c>
      <c r="T16" s="323">
        <f t="shared" si="11"/>
        <v>0</v>
      </c>
      <c r="U16" s="323">
        <f t="shared" si="11"/>
        <v>0</v>
      </c>
      <c r="V16" s="323">
        <f t="shared" si="11"/>
        <v>3000</v>
      </c>
      <c r="W16" s="394"/>
      <c r="X16" s="323">
        <f>X11</f>
        <v>31000</v>
      </c>
    </row>
    <row r="17" spans="1:24" ht="15.75" customHeight="1">
      <c r="A17" s="129"/>
      <c r="B17" s="129"/>
      <c r="C17" s="292"/>
      <c r="D17" s="198"/>
      <c r="E17" s="198"/>
      <c r="F17" s="198"/>
      <c r="G17" s="210"/>
      <c r="H17" s="198"/>
      <c r="I17" s="198"/>
      <c r="J17" s="198"/>
      <c r="K17" s="198"/>
      <c r="L17" s="198"/>
      <c r="M17" s="196"/>
      <c r="N17" s="196"/>
      <c r="O17" s="196"/>
      <c r="P17" s="196"/>
      <c r="Q17" s="196"/>
      <c r="R17" s="196"/>
      <c r="S17" s="196"/>
      <c r="T17" s="196"/>
      <c r="U17" s="196"/>
      <c r="V17" s="196"/>
      <c r="W17" s="196"/>
      <c r="X17" s="196"/>
    </row>
    <row r="18" spans="1:24" ht="15.75" hidden="1" customHeight="1">
      <c r="A18" s="276" t="s">
        <v>291</v>
      </c>
      <c r="B18" s="129"/>
      <c r="C18" s="292"/>
      <c r="D18" s="210"/>
      <c r="E18" s="210"/>
      <c r="F18" s="210"/>
      <c r="G18" s="210"/>
      <c r="H18" s="210"/>
      <c r="I18" s="210"/>
      <c r="J18" s="210"/>
      <c r="K18" s="326">
        <f t="shared" ref="K18:M18" si="12">K8-K16</f>
        <v>10000</v>
      </c>
      <c r="L18" s="326">
        <f t="shared" si="12"/>
        <v>13000</v>
      </c>
      <c r="M18" s="278">
        <f t="shared" si="12"/>
        <v>7000</v>
      </c>
      <c r="N18" s="278"/>
      <c r="O18" s="278">
        <f>O8-O16</f>
        <v>35000</v>
      </c>
      <c r="P18" s="278"/>
      <c r="Q18" s="278">
        <f>Q8-Q16</f>
        <v>-1000</v>
      </c>
      <c r="R18" s="278"/>
      <c r="S18" s="278">
        <f>S8-S16</f>
        <v>29000</v>
      </c>
      <c r="T18" s="278"/>
      <c r="U18" s="278">
        <f>U8-U16</f>
        <v>10000</v>
      </c>
      <c r="V18" s="278"/>
      <c r="W18" s="278">
        <f t="shared" ref="W18:X18" si="13">W8-W16</f>
        <v>0</v>
      </c>
      <c r="X18" s="278">
        <f t="shared" si="13"/>
        <v>169000</v>
      </c>
    </row>
    <row r="19" spans="1:24" ht="15.75" customHeight="1">
      <c r="A19" s="128"/>
      <c r="B19" s="129"/>
      <c r="C19" s="292"/>
      <c r="D19" s="132"/>
      <c r="E19" s="132"/>
      <c r="F19" s="132"/>
      <c r="G19" s="210"/>
      <c r="H19" s="132"/>
      <c r="I19" s="132"/>
      <c r="J19" s="132"/>
      <c r="K19" s="132"/>
      <c r="L19" s="132"/>
      <c r="M19" s="129"/>
      <c r="N19" s="129"/>
      <c r="O19" s="129"/>
      <c r="P19" s="129"/>
      <c r="Q19" s="129"/>
      <c r="R19" s="129"/>
      <c r="S19" s="129"/>
      <c r="T19" s="129"/>
      <c r="U19" s="129"/>
      <c r="V19" s="129"/>
      <c r="W19" s="129"/>
      <c r="X19" s="129"/>
    </row>
    <row r="20" spans="1:24" ht="15.75" customHeight="1">
      <c r="C20" s="328"/>
      <c r="D20" s="289"/>
      <c r="E20" s="289"/>
      <c r="F20" s="289"/>
      <c r="G20" s="422"/>
      <c r="H20" s="289"/>
      <c r="I20" s="289"/>
      <c r="J20" s="289"/>
      <c r="K20" s="289"/>
      <c r="L20" s="289"/>
      <c r="M20" s="289"/>
      <c r="N20" s="289"/>
      <c r="O20" s="289"/>
      <c r="P20" s="289"/>
      <c r="Q20" s="289"/>
      <c r="R20" s="289"/>
      <c r="S20" s="289"/>
      <c r="T20" s="289"/>
      <c r="U20" s="289"/>
      <c r="V20" s="289"/>
      <c r="W20" s="289"/>
      <c r="X20" s="289"/>
    </row>
    <row r="21" spans="1:24" ht="15.75" customHeight="1">
      <c r="C21" s="328"/>
      <c r="D21" s="289"/>
      <c r="E21" s="289"/>
      <c r="F21" s="289"/>
      <c r="G21" s="422"/>
      <c r="H21" s="289"/>
      <c r="I21" s="289"/>
      <c r="J21" s="289"/>
      <c r="K21" s="289"/>
      <c r="L21" s="289"/>
      <c r="M21" s="289"/>
      <c r="N21" s="289"/>
      <c r="O21" s="289"/>
      <c r="P21" s="289"/>
      <c r="Q21" s="289"/>
      <c r="R21" s="289"/>
      <c r="S21" s="289"/>
      <c r="T21" s="289"/>
      <c r="U21" s="289"/>
      <c r="V21" s="289"/>
      <c r="W21" s="289"/>
      <c r="X21" s="289"/>
    </row>
    <row r="22" spans="1:24" ht="15.75" customHeight="1">
      <c r="C22" s="328"/>
      <c r="D22" s="289"/>
      <c r="E22" s="289"/>
      <c r="F22" s="289"/>
      <c r="G22" s="422"/>
      <c r="H22" s="289"/>
      <c r="I22" s="289"/>
      <c r="J22" s="289"/>
      <c r="K22" s="289"/>
      <c r="L22" s="289"/>
      <c r="M22" s="289"/>
      <c r="N22" s="289"/>
      <c r="O22" s="289"/>
      <c r="P22" s="289"/>
      <c r="Q22" s="289"/>
      <c r="R22" s="289"/>
      <c r="S22" s="289"/>
      <c r="T22" s="289"/>
      <c r="U22" s="289"/>
      <c r="V22" s="289"/>
      <c r="W22" s="289"/>
      <c r="X22" s="289"/>
    </row>
    <row r="23" spans="1:24" ht="15.75" customHeight="1">
      <c r="C23" s="328"/>
      <c r="D23" s="289"/>
      <c r="E23" s="289"/>
      <c r="F23" s="289"/>
      <c r="G23" s="422"/>
      <c r="H23" s="289"/>
      <c r="I23" s="289"/>
      <c r="J23" s="289"/>
      <c r="K23" s="289"/>
      <c r="L23" s="289"/>
      <c r="M23" s="289"/>
      <c r="N23" s="289"/>
      <c r="O23" s="289"/>
      <c r="P23" s="289"/>
      <c r="Q23" s="289"/>
      <c r="R23" s="289"/>
      <c r="S23" s="289"/>
      <c r="T23" s="289"/>
      <c r="U23" s="289"/>
      <c r="V23" s="289"/>
      <c r="W23" s="289"/>
      <c r="X23" s="289"/>
    </row>
    <row r="24" spans="1:24" ht="15.75" customHeight="1">
      <c r="C24" s="328"/>
      <c r="D24" s="289"/>
      <c r="E24" s="289"/>
      <c r="F24" s="289"/>
      <c r="G24" s="422"/>
      <c r="H24" s="289"/>
      <c r="I24" s="289"/>
      <c r="J24" s="289"/>
      <c r="K24" s="289"/>
      <c r="L24" s="289"/>
      <c r="M24" s="289"/>
      <c r="N24" s="289"/>
      <c r="O24" s="289"/>
      <c r="P24" s="289"/>
      <c r="Q24" s="289"/>
      <c r="R24" s="289"/>
      <c r="S24" s="289"/>
      <c r="T24" s="289"/>
      <c r="U24" s="289"/>
      <c r="V24" s="289"/>
      <c r="W24" s="289"/>
      <c r="X24" s="289"/>
    </row>
    <row r="25" spans="1:24" ht="15.75" customHeight="1">
      <c r="C25" s="328"/>
      <c r="D25" s="289"/>
      <c r="E25" s="289"/>
      <c r="F25" s="289"/>
      <c r="G25" s="422"/>
      <c r="H25" s="289"/>
      <c r="I25" s="289"/>
      <c r="J25" s="289"/>
      <c r="K25" s="289"/>
      <c r="L25" s="289"/>
      <c r="M25" s="289"/>
      <c r="N25" s="289"/>
      <c r="O25" s="289"/>
      <c r="P25" s="289"/>
      <c r="Q25" s="289"/>
      <c r="R25" s="289"/>
      <c r="S25" s="289"/>
      <c r="T25" s="289"/>
      <c r="U25" s="289"/>
      <c r="V25" s="289"/>
      <c r="W25" s="289"/>
      <c r="X25" s="289"/>
    </row>
    <row r="26" spans="1:24" ht="15.75" customHeight="1">
      <c r="C26" s="328"/>
      <c r="D26" s="289"/>
      <c r="E26" s="289"/>
      <c r="F26" s="289"/>
      <c r="G26" s="422"/>
      <c r="H26" s="289"/>
      <c r="I26" s="289"/>
      <c r="J26" s="289"/>
      <c r="K26" s="289"/>
      <c r="L26" s="289"/>
      <c r="M26" s="289"/>
      <c r="N26" s="289"/>
      <c r="O26" s="289"/>
      <c r="P26" s="289"/>
      <c r="Q26" s="289"/>
      <c r="R26" s="289"/>
      <c r="S26" s="289"/>
      <c r="T26" s="289"/>
      <c r="U26" s="289"/>
      <c r="V26" s="289"/>
      <c r="W26" s="289"/>
      <c r="X26" s="289"/>
    </row>
    <row r="27" spans="1:24" ht="15.75" customHeight="1">
      <c r="C27" s="328"/>
      <c r="D27" s="289"/>
      <c r="E27" s="289"/>
      <c r="F27" s="289"/>
      <c r="G27" s="422"/>
      <c r="H27" s="289"/>
      <c r="I27" s="289"/>
      <c r="J27" s="289"/>
      <c r="K27" s="289"/>
      <c r="L27" s="289"/>
      <c r="M27" s="289"/>
      <c r="N27" s="289"/>
      <c r="O27" s="289"/>
      <c r="P27" s="289"/>
      <c r="Q27" s="289"/>
      <c r="R27" s="289"/>
      <c r="S27" s="289"/>
      <c r="T27" s="289"/>
      <c r="U27" s="289"/>
      <c r="V27" s="289"/>
      <c r="W27" s="289"/>
      <c r="X27" s="289"/>
    </row>
    <row r="28" spans="1:24" ht="15.75" customHeight="1">
      <c r="C28" s="328"/>
      <c r="D28" s="289"/>
      <c r="E28" s="289"/>
      <c r="F28" s="289"/>
      <c r="G28" s="422"/>
      <c r="H28" s="289"/>
      <c r="I28" s="289"/>
      <c r="J28" s="289"/>
      <c r="K28" s="289"/>
      <c r="L28" s="289"/>
      <c r="M28" s="289"/>
      <c r="N28" s="289"/>
      <c r="O28" s="289"/>
      <c r="P28" s="289"/>
      <c r="Q28" s="289"/>
      <c r="R28" s="289"/>
      <c r="S28" s="289"/>
      <c r="T28" s="289"/>
      <c r="U28" s="289"/>
      <c r="V28" s="289"/>
      <c r="W28" s="289"/>
      <c r="X28" s="289"/>
    </row>
    <row r="29" spans="1:24" ht="15.75" customHeight="1">
      <c r="C29" s="328"/>
      <c r="D29" s="289"/>
      <c r="E29" s="289"/>
      <c r="F29" s="289"/>
      <c r="G29" s="422"/>
      <c r="H29" s="289"/>
      <c r="I29" s="289"/>
      <c r="J29" s="289"/>
      <c r="K29" s="289"/>
      <c r="L29" s="289"/>
      <c r="M29" s="289"/>
      <c r="N29" s="289"/>
      <c r="O29" s="289"/>
      <c r="P29" s="289"/>
      <c r="Q29" s="289"/>
      <c r="R29" s="289"/>
      <c r="S29" s="289"/>
      <c r="T29" s="289"/>
      <c r="U29" s="289"/>
      <c r="V29" s="289"/>
      <c r="W29" s="289"/>
      <c r="X29" s="289"/>
    </row>
    <row r="30" spans="1:24" ht="15.75" customHeight="1">
      <c r="C30" s="328"/>
      <c r="D30" s="289"/>
      <c r="E30" s="289"/>
      <c r="F30" s="289"/>
      <c r="G30" s="422"/>
      <c r="H30" s="289"/>
      <c r="I30" s="289"/>
      <c r="J30" s="289"/>
      <c r="K30" s="289"/>
      <c r="L30" s="289"/>
      <c r="M30" s="289"/>
      <c r="N30" s="289"/>
      <c r="O30" s="289"/>
      <c r="P30" s="289"/>
      <c r="Q30" s="289"/>
      <c r="R30" s="289"/>
      <c r="S30" s="289"/>
      <c r="T30" s="289"/>
      <c r="U30" s="289"/>
      <c r="V30" s="289"/>
      <c r="W30" s="289"/>
      <c r="X30" s="289"/>
    </row>
    <row r="31" spans="1:24" ht="15.75" customHeight="1">
      <c r="C31" s="328"/>
      <c r="D31" s="289"/>
      <c r="E31" s="289"/>
      <c r="F31" s="289"/>
      <c r="G31" s="422"/>
      <c r="H31" s="289"/>
      <c r="I31" s="289"/>
      <c r="J31" s="289"/>
      <c r="K31" s="289"/>
      <c r="L31" s="289"/>
      <c r="M31" s="289"/>
      <c r="N31" s="289"/>
      <c r="O31" s="289"/>
      <c r="P31" s="289"/>
      <c r="Q31" s="289"/>
      <c r="R31" s="289"/>
      <c r="S31" s="289"/>
      <c r="T31" s="289"/>
      <c r="U31" s="289"/>
      <c r="V31" s="289"/>
      <c r="W31" s="289"/>
      <c r="X31" s="289"/>
    </row>
    <row r="32" spans="1:24" ht="15.75" customHeight="1">
      <c r="C32" s="328"/>
      <c r="D32" s="289"/>
      <c r="E32" s="289"/>
      <c r="F32" s="289"/>
      <c r="G32" s="422"/>
      <c r="H32" s="289"/>
      <c r="I32" s="289"/>
      <c r="J32" s="289"/>
      <c r="K32" s="289"/>
      <c r="L32" s="289"/>
      <c r="M32" s="289"/>
      <c r="N32" s="289"/>
      <c r="O32" s="289"/>
      <c r="P32" s="289"/>
      <c r="Q32" s="289"/>
      <c r="R32" s="289"/>
      <c r="S32" s="289"/>
      <c r="T32" s="289"/>
      <c r="U32" s="289"/>
      <c r="V32" s="289"/>
      <c r="W32" s="289"/>
      <c r="X32" s="289"/>
    </row>
    <row r="33" spans="3:24" ht="15.75" customHeight="1">
      <c r="C33" s="328"/>
      <c r="D33" s="289"/>
      <c r="E33" s="289"/>
      <c r="F33" s="289"/>
      <c r="G33" s="422"/>
      <c r="H33" s="289"/>
      <c r="I33" s="289"/>
      <c r="J33" s="289"/>
      <c r="K33" s="289"/>
      <c r="L33" s="289"/>
      <c r="M33" s="289"/>
      <c r="N33" s="289"/>
      <c r="O33" s="289"/>
      <c r="P33" s="289"/>
      <c r="Q33" s="289"/>
      <c r="R33" s="289"/>
      <c r="S33" s="289"/>
      <c r="T33" s="289"/>
      <c r="U33" s="289"/>
      <c r="V33" s="289"/>
      <c r="W33" s="289"/>
      <c r="X33" s="289"/>
    </row>
    <row r="34" spans="3:24" ht="15.75" customHeight="1">
      <c r="C34" s="328"/>
      <c r="D34" s="289"/>
      <c r="E34" s="289"/>
      <c r="F34" s="289"/>
      <c r="G34" s="422"/>
      <c r="H34" s="289"/>
      <c r="I34" s="289"/>
      <c r="J34" s="289"/>
      <c r="K34" s="289"/>
      <c r="L34" s="289"/>
      <c r="M34" s="289"/>
      <c r="N34" s="289"/>
      <c r="O34" s="289"/>
      <c r="P34" s="289"/>
      <c r="Q34" s="289"/>
      <c r="R34" s="289"/>
      <c r="S34" s="289"/>
      <c r="T34" s="289"/>
      <c r="U34" s="289"/>
      <c r="V34" s="289"/>
      <c r="W34" s="289"/>
      <c r="X34" s="289"/>
    </row>
    <row r="35" spans="3:24" ht="15.75" customHeight="1">
      <c r="C35" s="328"/>
      <c r="D35" s="289"/>
      <c r="E35" s="289"/>
      <c r="F35" s="289"/>
      <c r="G35" s="422"/>
      <c r="H35" s="289"/>
      <c r="I35" s="289"/>
      <c r="J35" s="289"/>
      <c r="K35" s="289"/>
      <c r="L35" s="289"/>
      <c r="M35" s="289"/>
      <c r="N35" s="289"/>
      <c r="O35" s="289"/>
      <c r="P35" s="289"/>
      <c r="Q35" s="289"/>
      <c r="R35" s="289"/>
      <c r="S35" s="289"/>
      <c r="T35" s="289"/>
      <c r="U35" s="289"/>
      <c r="V35" s="289"/>
      <c r="W35" s="289"/>
      <c r="X35" s="289"/>
    </row>
    <row r="36" spans="3:24" ht="15.75" customHeight="1">
      <c r="C36" s="328"/>
      <c r="D36" s="289"/>
      <c r="E36" s="289"/>
      <c r="F36" s="289"/>
      <c r="G36" s="422"/>
      <c r="H36" s="289"/>
      <c r="I36" s="289"/>
      <c r="J36" s="289"/>
      <c r="K36" s="289"/>
      <c r="L36" s="289"/>
      <c r="M36" s="289"/>
      <c r="N36" s="289"/>
      <c r="O36" s="289"/>
      <c r="P36" s="289"/>
      <c r="Q36" s="289"/>
      <c r="R36" s="289"/>
      <c r="S36" s="289"/>
      <c r="T36" s="289"/>
      <c r="U36" s="289"/>
      <c r="V36" s="289"/>
      <c r="W36" s="289"/>
      <c r="X36" s="289"/>
    </row>
    <row r="37" spans="3:24" ht="15.75" customHeight="1">
      <c r="C37" s="328"/>
      <c r="D37" s="289"/>
      <c r="E37" s="289"/>
      <c r="F37" s="289"/>
      <c r="G37" s="422"/>
      <c r="H37" s="289"/>
      <c r="I37" s="289"/>
      <c r="J37" s="289"/>
      <c r="K37" s="289"/>
      <c r="L37" s="289"/>
      <c r="M37" s="289"/>
      <c r="N37" s="289"/>
      <c r="O37" s="289"/>
      <c r="P37" s="289"/>
      <c r="Q37" s="289"/>
      <c r="R37" s="289"/>
      <c r="S37" s="289"/>
      <c r="T37" s="289"/>
      <c r="U37" s="289"/>
      <c r="V37" s="289"/>
      <c r="W37" s="289"/>
      <c r="X37" s="289"/>
    </row>
    <row r="38" spans="3:24" ht="15.75" customHeight="1">
      <c r="C38" s="328"/>
      <c r="D38" s="289"/>
      <c r="E38" s="289"/>
      <c r="F38" s="289"/>
      <c r="G38" s="422"/>
      <c r="H38" s="289"/>
      <c r="I38" s="289"/>
      <c r="J38" s="289"/>
      <c r="K38" s="289"/>
      <c r="L38" s="289"/>
      <c r="M38" s="289"/>
      <c r="N38" s="289"/>
      <c r="O38" s="289"/>
      <c r="P38" s="289"/>
      <c r="Q38" s="289"/>
      <c r="R38" s="289"/>
      <c r="S38" s="289"/>
      <c r="T38" s="289"/>
      <c r="U38" s="289"/>
      <c r="V38" s="289"/>
      <c r="W38" s="289"/>
      <c r="X38" s="289"/>
    </row>
    <row r="39" spans="3:24" ht="15.75" customHeight="1">
      <c r="C39" s="328"/>
      <c r="D39" s="289"/>
      <c r="E39" s="289"/>
      <c r="F39" s="289"/>
      <c r="G39" s="422"/>
      <c r="H39" s="289"/>
      <c r="I39" s="289"/>
      <c r="J39" s="289"/>
      <c r="K39" s="289"/>
      <c r="L39" s="289"/>
      <c r="M39" s="289"/>
      <c r="N39" s="289"/>
      <c r="O39" s="289"/>
      <c r="P39" s="289"/>
      <c r="Q39" s="289"/>
      <c r="R39" s="289"/>
      <c r="S39" s="289"/>
      <c r="T39" s="289"/>
      <c r="U39" s="289"/>
      <c r="V39" s="289"/>
      <c r="W39" s="289"/>
      <c r="X39" s="289"/>
    </row>
    <row r="40" spans="3:24" ht="15.75" customHeight="1">
      <c r="C40" s="328"/>
      <c r="D40" s="289"/>
      <c r="E40" s="289"/>
      <c r="F40" s="289"/>
      <c r="G40" s="422"/>
      <c r="H40" s="289"/>
      <c r="I40" s="289"/>
      <c r="J40" s="289"/>
      <c r="K40" s="289"/>
      <c r="L40" s="289"/>
      <c r="M40" s="289"/>
      <c r="N40" s="289"/>
      <c r="O40" s="289"/>
      <c r="P40" s="289"/>
      <c r="Q40" s="289"/>
      <c r="R40" s="289"/>
      <c r="S40" s="289"/>
      <c r="T40" s="289"/>
      <c r="U40" s="289"/>
      <c r="V40" s="289"/>
      <c r="W40" s="289"/>
      <c r="X40" s="289"/>
    </row>
    <row r="41" spans="3:24" ht="15.75" customHeight="1">
      <c r="C41" s="328"/>
      <c r="D41" s="289"/>
      <c r="E41" s="289"/>
      <c r="F41" s="289"/>
      <c r="G41" s="422"/>
      <c r="H41" s="289"/>
      <c r="I41" s="289"/>
      <c r="J41" s="289"/>
      <c r="K41" s="289"/>
      <c r="L41" s="289"/>
      <c r="M41" s="289"/>
      <c r="N41" s="289"/>
      <c r="O41" s="289"/>
      <c r="P41" s="289"/>
      <c r="Q41" s="289"/>
      <c r="R41" s="289"/>
      <c r="S41" s="289"/>
      <c r="T41" s="289"/>
      <c r="U41" s="289"/>
      <c r="V41" s="289"/>
      <c r="W41" s="289"/>
      <c r="X41" s="289"/>
    </row>
    <row r="42" spans="3:24" ht="15.75" customHeight="1">
      <c r="C42" s="328"/>
      <c r="D42" s="289"/>
      <c r="E42" s="289"/>
      <c r="F42" s="289"/>
      <c r="G42" s="422"/>
      <c r="H42" s="289"/>
      <c r="I42" s="289"/>
      <c r="J42" s="289"/>
      <c r="K42" s="289"/>
      <c r="L42" s="289"/>
      <c r="M42" s="289"/>
      <c r="N42" s="289"/>
      <c r="O42" s="289"/>
      <c r="P42" s="289"/>
      <c r="Q42" s="289"/>
      <c r="R42" s="289"/>
      <c r="S42" s="289"/>
      <c r="T42" s="289"/>
      <c r="U42" s="289"/>
      <c r="V42" s="289"/>
      <c r="W42" s="289"/>
      <c r="X42" s="289"/>
    </row>
    <row r="43" spans="3:24" ht="15.75" customHeight="1">
      <c r="C43" s="328"/>
      <c r="D43" s="289"/>
      <c r="E43" s="289"/>
      <c r="F43" s="289"/>
      <c r="G43" s="422"/>
      <c r="H43" s="289"/>
      <c r="I43" s="289"/>
      <c r="J43" s="289"/>
      <c r="K43" s="289"/>
      <c r="L43" s="289"/>
      <c r="M43" s="289"/>
      <c r="N43" s="289"/>
      <c r="O43" s="289"/>
      <c r="P43" s="289"/>
      <c r="Q43" s="289"/>
      <c r="R43" s="289"/>
      <c r="S43" s="289"/>
      <c r="T43" s="289"/>
      <c r="U43" s="289"/>
      <c r="V43" s="289"/>
      <c r="W43" s="289"/>
      <c r="X43" s="289"/>
    </row>
    <row r="44" spans="3:24" ht="15.75" customHeight="1">
      <c r="C44" s="328"/>
      <c r="D44" s="289"/>
      <c r="E44" s="289"/>
      <c r="F44" s="289"/>
      <c r="G44" s="422"/>
      <c r="H44" s="289"/>
      <c r="I44" s="289"/>
      <c r="J44" s="289"/>
      <c r="K44" s="289"/>
      <c r="L44" s="289"/>
      <c r="M44" s="289"/>
      <c r="N44" s="289"/>
      <c r="O44" s="289"/>
      <c r="P44" s="289"/>
      <c r="Q44" s="289"/>
      <c r="R44" s="289"/>
      <c r="S44" s="289"/>
      <c r="T44" s="289"/>
      <c r="U44" s="289"/>
      <c r="V44" s="289"/>
      <c r="W44" s="289"/>
      <c r="X44" s="289"/>
    </row>
    <row r="45" spans="3:24" ht="15.75" customHeight="1">
      <c r="C45" s="328"/>
      <c r="D45" s="289"/>
      <c r="E45" s="289"/>
      <c r="F45" s="289"/>
      <c r="G45" s="422"/>
      <c r="H45" s="289"/>
      <c r="I45" s="289"/>
      <c r="J45" s="289"/>
      <c r="K45" s="289"/>
      <c r="L45" s="289"/>
      <c r="M45" s="289"/>
      <c r="N45" s="289"/>
      <c r="O45" s="289"/>
      <c r="P45" s="289"/>
      <c r="Q45" s="289"/>
      <c r="R45" s="289"/>
      <c r="S45" s="289"/>
      <c r="T45" s="289"/>
      <c r="U45" s="289"/>
      <c r="V45" s="289"/>
      <c r="W45" s="289"/>
      <c r="X45" s="289"/>
    </row>
    <row r="46" spans="3:24" ht="15.75" customHeight="1">
      <c r="C46" s="328"/>
      <c r="D46" s="289"/>
      <c r="E46" s="289"/>
      <c r="F46" s="289"/>
      <c r="G46" s="422"/>
      <c r="H46" s="289"/>
      <c r="I46" s="289"/>
      <c r="J46" s="289"/>
      <c r="K46" s="289"/>
      <c r="L46" s="289"/>
      <c r="M46" s="289"/>
      <c r="N46" s="289"/>
      <c r="O46" s="289"/>
      <c r="P46" s="289"/>
      <c r="Q46" s="289"/>
      <c r="R46" s="289"/>
      <c r="S46" s="289"/>
      <c r="T46" s="289"/>
      <c r="U46" s="289"/>
      <c r="V46" s="289"/>
      <c r="W46" s="289"/>
      <c r="X46" s="289"/>
    </row>
    <row r="47" spans="3:24" ht="15.75" customHeight="1">
      <c r="C47" s="328"/>
      <c r="D47" s="289"/>
      <c r="E47" s="289"/>
      <c r="F47" s="289"/>
      <c r="G47" s="422"/>
      <c r="H47" s="289"/>
      <c r="I47" s="289"/>
      <c r="J47" s="289"/>
      <c r="K47" s="289"/>
      <c r="L47" s="289"/>
      <c r="M47" s="289"/>
      <c r="N47" s="289"/>
      <c r="O47" s="289"/>
      <c r="P47" s="289"/>
      <c r="Q47" s="289"/>
      <c r="R47" s="289"/>
      <c r="S47" s="289"/>
      <c r="T47" s="289"/>
      <c r="U47" s="289"/>
      <c r="V47" s="289"/>
      <c r="W47" s="289"/>
      <c r="X47" s="289"/>
    </row>
    <row r="48" spans="3:24" ht="15.75" customHeight="1">
      <c r="C48" s="328"/>
      <c r="D48" s="289"/>
      <c r="E48" s="289"/>
      <c r="F48" s="289"/>
      <c r="G48" s="422"/>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422"/>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422"/>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422"/>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422"/>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422"/>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422"/>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422"/>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422"/>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422"/>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422"/>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422"/>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422"/>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422"/>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422"/>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422"/>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422"/>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422"/>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422"/>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422"/>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422"/>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422"/>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422"/>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422"/>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422"/>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422"/>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422"/>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422"/>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422"/>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422"/>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422"/>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422"/>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422"/>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422"/>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422"/>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422"/>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422"/>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422"/>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422"/>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422"/>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422"/>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422"/>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422"/>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422"/>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422"/>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422"/>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422"/>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422"/>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422"/>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422"/>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422"/>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422"/>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422"/>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422"/>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422"/>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422"/>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422"/>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422"/>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422"/>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422"/>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422"/>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422"/>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422"/>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422"/>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422"/>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422"/>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422"/>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422"/>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422"/>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422"/>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422"/>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422"/>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422"/>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422"/>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422"/>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422"/>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422"/>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422"/>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422"/>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422"/>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422"/>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422"/>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422"/>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422"/>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422"/>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422"/>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422"/>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422"/>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422"/>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422"/>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422"/>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422"/>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422"/>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422"/>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422"/>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422"/>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422"/>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422"/>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422"/>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422"/>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422"/>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422"/>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422"/>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422"/>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422"/>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422"/>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422"/>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422"/>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422"/>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422"/>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422"/>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422"/>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422"/>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422"/>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422"/>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422"/>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422"/>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422"/>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422"/>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422"/>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422"/>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422"/>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422"/>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422"/>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422"/>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422"/>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422"/>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422"/>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422"/>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422"/>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422"/>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422"/>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422"/>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422"/>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422"/>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422"/>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422"/>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422"/>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422"/>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422"/>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422"/>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422"/>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422"/>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422"/>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422"/>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422"/>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422"/>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422"/>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422"/>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422"/>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422"/>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422"/>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422"/>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422"/>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422"/>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422"/>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422"/>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422"/>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422"/>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422"/>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422"/>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422"/>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422"/>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422"/>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422"/>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422"/>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422"/>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422"/>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422"/>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422"/>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422"/>
      <c r="H218" s="289"/>
      <c r="I218" s="289"/>
      <c r="J218" s="289"/>
      <c r="K218" s="289"/>
      <c r="L218" s="289"/>
      <c r="M218" s="289"/>
      <c r="N218" s="289"/>
      <c r="O218" s="289"/>
      <c r="P218" s="289"/>
      <c r="Q218" s="289"/>
      <c r="R218" s="289"/>
      <c r="S218" s="289"/>
      <c r="T218" s="289"/>
      <c r="U218" s="289"/>
      <c r="V218" s="289"/>
      <c r="W218" s="289"/>
      <c r="X218" s="289"/>
    </row>
    <row r="219" spans="3:24" ht="15.75" customHeight="1">
      <c r="G219" s="452"/>
    </row>
    <row r="220" spans="3:24" ht="15.75" customHeight="1">
      <c r="G220" s="452"/>
    </row>
    <row r="221" spans="3:24" ht="15.75" customHeight="1">
      <c r="G221" s="452"/>
    </row>
    <row r="222" spans="3:24" ht="15.75" customHeight="1">
      <c r="G222" s="452"/>
    </row>
    <row r="223" spans="3:24" ht="15.75" customHeight="1">
      <c r="G223" s="452"/>
    </row>
    <row r="224" spans="3:24" ht="15.75" customHeight="1">
      <c r="G224" s="452"/>
    </row>
    <row r="225" spans="7:7" ht="15.75" customHeight="1">
      <c r="G225" s="452"/>
    </row>
    <row r="226" spans="7:7" ht="15.75" customHeight="1">
      <c r="G226" s="452"/>
    </row>
    <row r="227" spans="7:7" ht="15.75" customHeight="1">
      <c r="G227" s="452"/>
    </row>
    <row r="228" spans="7:7" ht="15.75" customHeight="1">
      <c r="G228" s="452"/>
    </row>
    <row r="229" spans="7:7" ht="15.75" customHeight="1">
      <c r="G229" s="452"/>
    </row>
    <row r="230" spans="7:7" ht="15.75" customHeight="1">
      <c r="G230" s="452"/>
    </row>
    <row r="231" spans="7:7" ht="15.75" customHeight="1">
      <c r="G231" s="452"/>
    </row>
    <row r="232" spans="7:7" ht="15.75" customHeight="1">
      <c r="G232" s="452"/>
    </row>
    <row r="233" spans="7:7" ht="15.75" customHeight="1">
      <c r="G233" s="452"/>
    </row>
    <row r="234" spans="7:7" ht="15.75" customHeight="1">
      <c r="G234" s="452"/>
    </row>
    <row r="235" spans="7:7" ht="15.75" customHeight="1">
      <c r="G235" s="452"/>
    </row>
    <row r="236" spans="7:7" ht="15.75" customHeight="1">
      <c r="G236" s="452"/>
    </row>
    <row r="237" spans="7:7" ht="15.75" customHeight="1">
      <c r="G237" s="452"/>
    </row>
    <row r="238" spans="7:7" ht="15.75" customHeight="1">
      <c r="G238" s="452"/>
    </row>
    <row r="239" spans="7:7" ht="15.75" customHeight="1">
      <c r="G239" s="452"/>
    </row>
    <row r="240" spans="7:7" ht="15.75" customHeight="1">
      <c r="G240" s="452"/>
    </row>
    <row r="241" spans="7:7" ht="15.75" customHeight="1">
      <c r="G241" s="452"/>
    </row>
    <row r="242" spans="7:7" ht="15.75" customHeight="1">
      <c r="G242" s="452"/>
    </row>
    <row r="243" spans="7:7" ht="15.75" customHeight="1">
      <c r="G243" s="452"/>
    </row>
    <row r="244" spans="7:7" ht="15.75" customHeight="1">
      <c r="G244" s="452"/>
    </row>
    <row r="245" spans="7:7" ht="15.75" customHeight="1">
      <c r="G245" s="452"/>
    </row>
    <row r="246" spans="7:7" ht="15.75" customHeight="1">
      <c r="G246" s="452"/>
    </row>
    <row r="247" spans="7:7" ht="15.75" customHeight="1">
      <c r="G247" s="452"/>
    </row>
    <row r="248" spans="7:7" ht="15.75" customHeight="1">
      <c r="G248" s="452"/>
    </row>
    <row r="249" spans="7:7" ht="15.75" customHeight="1">
      <c r="G249" s="452"/>
    </row>
    <row r="250" spans="7:7" ht="15.75" customHeight="1">
      <c r="G250" s="452"/>
    </row>
    <row r="251" spans="7:7" ht="15.75" customHeight="1">
      <c r="G251" s="452"/>
    </row>
    <row r="252" spans="7:7" ht="15.75" customHeight="1">
      <c r="G252" s="452"/>
    </row>
    <row r="253" spans="7:7" ht="15.75" customHeight="1">
      <c r="G253" s="452"/>
    </row>
    <row r="254" spans="7:7" ht="15.75" customHeight="1">
      <c r="G254" s="452"/>
    </row>
    <row r="255" spans="7:7" ht="15.75" customHeight="1">
      <c r="G255" s="452"/>
    </row>
    <row r="256" spans="7:7" ht="15.75" customHeight="1">
      <c r="G256" s="452"/>
    </row>
    <row r="257" spans="7:7" ht="15.75" customHeight="1">
      <c r="G257" s="452"/>
    </row>
    <row r="258" spans="7:7" ht="15.75" customHeight="1">
      <c r="G258" s="452"/>
    </row>
    <row r="259" spans="7:7" ht="15.75" customHeight="1">
      <c r="G259" s="452"/>
    </row>
    <row r="260" spans="7:7" ht="15.75" customHeight="1">
      <c r="G260" s="452"/>
    </row>
    <row r="261" spans="7:7" ht="15.75" customHeight="1">
      <c r="G261" s="452"/>
    </row>
    <row r="262" spans="7:7" ht="15.75" customHeight="1">
      <c r="G262" s="452"/>
    </row>
    <row r="263" spans="7:7" ht="15.75" customHeight="1">
      <c r="G263" s="452"/>
    </row>
    <row r="264" spans="7:7" ht="15.75" customHeight="1">
      <c r="G264" s="452"/>
    </row>
    <row r="265" spans="7:7" ht="15.75" customHeight="1">
      <c r="G265" s="452"/>
    </row>
    <row r="266" spans="7:7" ht="15.75" customHeight="1">
      <c r="G266" s="452"/>
    </row>
    <row r="267" spans="7:7" ht="15.75" customHeight="1">
      <c r="G267" s="452"/>
    </row>
    <row r="268" spans="7:7" ht="15.75" customHeight="1">
      <c r="G268" s="452"/>
    </row>
    <row r="269" spans="7:7" ht="15.75" customHeight="1">
      <c r="G269" s="452"/>
    </row>
    <row r="270" spans="7:7" ht="15.75" customHeight="1">
      <c r="G270" s="452"/>
    </row>
    <row r="271" spans="7:7" ht="15.75" customHeight="1">
      <c r="G271" s="452"/>
    </row>
    <row r="272" spans="7:7" ht="15.75" customHeight="1">
      <c r="G272" s="452"/>
    </row>
    <row r="273" spans="7:7" ht="15.75" customHeight="1">
      <c r="G273" s="452"/>
    </row>
    <row r="274" spans="7:7" ht="15.75" customHeight="1">
      <c r="G274" s="452"/>
    </row>
    <row r="275" spans="7:7" ht="15.75" customHeight="1">
      <c r="G275" s="452"/>
    </row>
    <row r="276" spans="7:7" ht="15.75" customHeight="1">
      <c r="G276" s="452"/>
    </row>
    <row r="277" spans="7:7" ht="15.75" customHeight="1">
      <c r="G277" s="452"/>
    </row>
    <row r="278" spans="7:7" ht="15.75" customHeight="1">
      <c r="G278" s="452"/>
    </row>
    <row r="279" spans="7:7" ht="15.75" customHeight="1">
      <c r="G279" s="452"/>
    </row>
    <row r="280" spans="7:7" ht="15.75" customHeight="1">
      <c r="G280" s="452"/>
    </row>
    <row r="281" spans="7:7" ht="15.75" customHeight="1">
      <c r="G281" s="452"/>
    </row>
    <row r="282" spans="7:7" ht="15.75" customHeight="1">
      <c r="G282" s="452"/>
    </row>
    <row r="283" spans="7:7" ht="15.75" customHeight="1">
      <c r="G283" s="452"/>
    </row>
    <row r="284" spans="7:7" ht="15.75" customHeight="1">
      <c r="G284" s="452"/>
    </row>
    <row r="285" spans="7:7" ht="15.75" customHeight="1">
      <c r="G285" s="452"/>
    </row>
    <row r="286" spans="7:7" ht="15.75" customHeight="1">
      <c r="G286" s="452"/>
    </row>
    <row r="287" spans="7:7" ht="15.75" customHeight="1">
      <c r="G287" s="452"/>
    </row>
    <row r="288" spans="7:7" ht="15.75" customHeight="1">
      <c r="G288" s="452"/>
    </row>
    <row r="289" spans="7:7" ht="15.75" customHeight="1">
      <c r="G289" s="452"/>
    </row>
    <row r="290" spans="7:7" ht="15.75" customHeight="1">
      <c r="G290" s="452"/>
    </row>
    <row r="291" spans="7:7" ht="15.75" customHeight="1">
      <c r="G291" s="452"/>
    </row>
    <row r="292" spans="7:7" ht="15.75" customHeight="1">
      <c r="G292" s="452"/>
    </row>
    <row r="293" spans="7:7" ht="15.75" customHeight="1">
      <c r="G293" s="452"/>
    </row>
    <row r="294" spans="7:7" ht="15.75" customHeight="1">
      <c r="G294" s="452"/>
    </row>
    <row r="295" spans="7:7" ht="15.75" customHeight="1">
      <c r="G295" s="452"/>
    </row>
    <row r="296" spans="7:7" ht="15.75" customHeight="1">
      <c r="G296" s="452"/>
    </row>
    <row r="297" spans="7:7" ht="15.75" customHeight="1">
      <c r="G297" s="452"/>
    </row>
    <row r="298" spans="7:7" ht="15.75" customHeight="1">
      <c r="G298" s="452"/>
    </row>
    <row r="299" spans="7:7" ht="15.75" customHeight="1">
      <c r="G299" s="452"/>
    </row>
    <row r="300" spans="7:7" ht="15.75" customHeight="1">
      <c r="G300" s="452"/>
    </row>
    <row r="301" spans="7:7" ht="15.75" customHeight="1">
      <c r="G301" s="452"/>
    </row>
    <row r="302" spans="7:7" ht="15.75" customHeight="1">
      <c r="G302" s="452"/>
    </row>
    <row r="303" spans="7:7" ht="15.75" customHeight="1">
      <c r="G303" s="452"/>
    </row>
    <row r="304" spans="7:7" ht="15.75" customHeight="1">
      <c r="G304" s="452"/>
    </row>
    <row r="305" spans="7:7" ht="15.75" customHeight="1">
      <c r="G305" s="452"/>
    </row>
    <row r="306" spans="7:7" ht="15.75" customHeight="1">
      <c r="G306" s="452"/>
    </row>
    <row r="307" spans="7:7" ht="15.75" customHeight="1">
      <c r="G307" s="452"/>
    </row>
    <row r="308" spans="7:7" ht="15.75" customHeight="1">
      <c r="G308" s="452"/>
    </row>
    <row r="309" spans="7:7" ht="15.75" customHeight="1">
      <c r="G309" s="452"/>
    </row>
    <row r="310" spans="7:7" ht="15.75" customHeight="1">
      <c r="G310" s="452"/>
    </row>
    <row r="311" spans="7:7" ht="15.75" customHeight="1">
      <c r="G311" s="452"/>
    </row>
    <row r="312" spans="7:7" ht="15.75" customHeight="1">
      <c r="G312" s="452"/>
    </row>
    <row r="313" spans="7:7" ht="15.75" customHeight="1">
      <c r="G313" s="452"/>
    </row>
    <row r="314" spans="7:7" ht="15.75" customHeight="1">
      <c r="G314" s="452"/>
    </row>
    <row r="315" spans="7:7" ht="15.75" customHeight="1">
      <c r="G315" s="452"/>
    </row>
    <row r="316" spans="7:7" ht="15.75" customHeight="1">
      <c r="G316" s="452"/>
    </row>
    <row r="317" spans="7:7" ht="15.75" customHeight="1">
      <c r="G317" s="452"/>
    </row>
    <row r="318" spans="7:7" ht="15.75" customHeight="1">
      <c r="G318" s="452"/>
    </row>
    <row r="319" spans="7:7" ht="15.75" customHeight="1">
      <c r="G319" s="452"/>
    </row>
    <row r="320" spans="7:7" ht="15.75" customHeight="1">
      <c r="G320" s="452"/>
    </row>
    <row r="321" spans="7:7" ht="15.75" customHeight="1">
      <c r="G321" s="452"/>
    </row>
    <row r="322" spans="7:7" ht="15.75" customHeight="1">
      <c r="G322" s="452"/>
    </row>
    <row r="323" spans="7:7" ht="15.75" customHeight="1">
      <c r="G323" s="452"/>
    </row>
    <row r="324" spans="7:7" ht="15.75" customHeight="1">
      <c r="G324" s="452"/>
    </row>
    <row r="325" spans="7:7" ht="15.75" customHeight="1">
      <c r="G325" s="452"/>
    </row>
    <row r="326" spans="7:7" ht="15.75" customHeight="1">
      <c r="G326" s="452"/>
    </row>
    <row r="327" spans="7:7" ht="15.75" customHeight="1">
      <c r="G327" s="452"/>
    </row>
    <row r="328" spans="7:7" ht="15.75" customHeight="1">
      <c r="G328" s="452"/>
    </row>
    <row r="329" spans="7:7" ht="15.75" customHeight="1">
      <c r="G329" s="452"/>
    </row>
    <row r="330" spans="7:7" ht="15.75" customHeight="1">
      <c r="G330" s="452"/>
    </row>
    <row r="331" spans="7:7" ht="15.75" customHeight="1">
      <c r="G331" s="452"/>
    </row>
    <row r="332" spans="7:7" ht="15.75" customHeight="1">
      <c r="G332" s="452"/>
    </row>
    <row r="333" spans="7:7" ht="15.75" customHeight="1">
      <c r="G333" s="452"/>
    </row>
    <row r="334" spans="7:7" ht="15.75" customHeight="1">
      <c r="G334" s="452"/>
    </row>
    <row r="335" spans="7:7" ht="15.75" customHeight="1">
      <c r="G335" s="452"/>
    </row>
    <row r="336" spans="7:7" ht="15.75" customHeight="1">
      <c r="G336" s="452"/>
    </row>
    <row r="337" spans="7:7" ht="15.75" customHeight="1">
      <c r="G337" s="452"/>
    </row>
    <row r="338" spans="7:7" ht="15.75" customHeight="1">
      <c r="G338" s="452"/>
    </row>
    <row r="339" spans="7:7" ht="15.75" customHeight="1">
      <c r="G339" s="452"/>
    </row>
    <row r="340" spans="7:7" ht="15.75" customHeight="1">
      <c r="G340" s="452"/>
    </row>
    <row r="341" spans="7:7" ht="15.75" customHeight="1">
      <c r="G341" s="452"/>
    </row>
    <row r="342" spans="7:7" ht="15.75" customHeight="1">
      <c r="G342" s="452"/>
    </row>
    <row r="343" spans="7:7" ht="15.75" customHeight="1">
      <c r="G343" s="452"/>
    </row>
    <row r="344" spans="7:7" ht="15.75" customHeight="1">
      <c r="G344" s="452"/>
    </row>
    <row r="345" spans="7:7" ht="15.75" customHeight="1">
      <c r="G345" s="452"/>
    </row>
    <row r="346" spans="7:7" ht="15.75" customHeight="1">
      <c r="G346" s="452"/>
    </row>
    <row r="347" spans="7:7" ht="15.75" customHeight="1">
      <c r="G347" s="452"/>
    </row>
    <row r="348" spans="7:7" ht="15.75" customHeight="1">
      <c r="G348" s="452"/>
    </row>
    <row r="349" spans="7:7" ht="15.75" customHeight="1">
      <c r="G349" s="452"/>
    </row>
    <row r="350" spans="7:7" ht="15.75" customHeight="1">
      <c r="G350" s="452"/>
    </row>
    <row r="351" spans="7:7" ht="15.75" customHeight="1">
      <c r="G351" s="452"/>
    </row>
    <row r="352" spans="7:7" ht="15.75" customHeight="1">
      <c r="G352" s="452"/>
    </row>
    <row r="353" spans="7:7" ht="15.75" customHeight="1">
      <c r="G353" s="452"/>
    </row>
    <row r="354" spans="7:7" ht="15.75" customHeight="1">
      <c r="G354" s="452"/>
    </row>
    <row r="355" spans="7:7" ht="15.75" customHeight="1">
      <c r="G355" s="452"/>
    </row>
    <row r="356" spans="7:7" ht="15.75" customHeight="1">
      <c r="G356" s="452"/>
    </row>
    <row r="357" spans="7:7" ht="15.75" customHeight="1">
      <c r="G357" s="452"/>
    </row>
    <row r="358" spans="7:7" ht="15.75" customHeight="1">
      <c r="G358" s="452"/>
    </row>
    <row r="359" spans="7:7" ht="15.75" customHeight="1">
      <c r="G359" s="452"/>
    </row>
    <row r="360" spans="7:7" ht="15.75" customHeight="1">
      <c r="G360" s="452"/>
    </row>
    <row r="361" spans="7:7" ht="15.75" customHeight="1">
      <c r="G361" s="452"/>
    </row>
    <row r="362" spans="7:7" ht="15.75" customHeight="1">
      <c r="G362" s="452"/>
    </row>
    <row r="363" spans="7:7" ht="15.75" customHeight="1">
      <c r="G363" s="452"/>
    </row>
    <row r="364" spans="7:7" ht="15.75" customHeight="1">
      <c r="G364" s="452"/>
    </row>
    <row r="365" spans="7:7" ht="15.75" customHeight="1">
      <c r="G365" s="452"/>
    </row>
    <row r="366" spans="7:7" ht="15.75" customHeight="1">
      <c r="G366" s="452"/>
    </row>
    <row r="367" spans="7:7" ht="15.75" customHeight="1">
      <c r="G367" s="452"/>
    </row>
    <row r="368" spans="7:7" ht="15.75" customHeight="1">
      <c r="G368" s="452"/>
    </row>
    <row r="369" spans="7:7" ht="15.75" customHeight="1">
      <c r="G369" s="452"/>
    </row>
    <row r="370" spans="7:7" ht="15.75" customHeight="1">
      <c r="G370" s="452"/>
    </row>
    <row r="371" spans="7:7" ht="15.75" customHeight="1">
      <c r="G371" s="452"/>
    </row>
    <row r="372" spans="7:7" ht="15.75" customHeight="1">
      <c r="G372" s="452"/>
    </row>
    <row r="373" spans="7:7" ht="15.75" customHeight="1">
      <c r="G373" s="452"/>
    </row>
    <row r="374" spans="7:7" ht="15.75" customHeight="1">
      <c r="G374" s="452"/>
    </row>
    <row r="375" spans="7:7" ht="15.75" customHeight="1">
      <c r="G375" s="452"/>
    </row>
    <row r="376" spans="7:7" ht="15.75" customHeight="1">
      <c r="G376" s="452"/>
    </row>
    <row r="377" spans="7:7" ht="15.75" customHeight="1">
      <c r="G377" s="452"/>
    </row>
    <row r="378" spans="7:7" ht="15.75" customHeight="1">
      <c r="G378" s="452"/>
    </row>
    <row r="379" spans="7:7" ht="15.75" customHeight="1">
      <c r="G379" s="452"/>
    </row>
    <row r="380" spans="7:7" ht="15.75" customHeight="1">
      <c r="G380" s="452"/>
    </row>
    <row r="381" spans="7:7" ht="15.75" customHeight="1">
      <c r="G381" s="452"/>
    </row>
    <row r="382" spans="7:7" ht="15.75" customHeight="1">
      <c r="G382" s="452"/>
    </row>
    <row r="383" spans="7:7" ht="15.75" customHeight="1">
      <c r="G383" s="452"/>
    </row>
    <row r="384" spans="7:7" ht="15.75" customHeight="1">
      <c r="G384" s="452"/>
    </row>
    <row r="385" spans="7:7" ht="15.75" customHeight="1">
      <c r="G385" s="452"/>
    </row>
    <row r="386" spans="7:7" ht="15.75" customHeight="1">
      <c r="G386" s="452"/>
    </row>
    <row r="387" spans="7:7" ht="15.75" customHeight="1">
      <c r="G387" s="452"/>
    </row>
    <row r="388" spans="7:7" ht="15.75" customHeight="1">
      <c r="G388" s="452"/>
    </row>
    <row r="389" spans="7:7" ht="15.75" customHeight="1">
      <c r="G389" s="452"/>
    </row>
    <row r="390" spans="7:7" ht="15.75" customHeight="1">
      <c r="G390" s="452"/>
    </row>
    <row r="391" spans="7:7" ht="15.75" customHeight="1">
      <c r="G391" s="452"/>
    </row>
    <row r="392" spans="7:7" ht="15.75" customHeight="1">
      <c r="G392" s="452"/>
    </row>
    <row r="393" spans="7:7" ht="15.75" customHeight="1">
      <c r="G393" s="452"/>
    </row>
    <row r="394" spans="7:7" ht="15.75" customHeight="1">
      <c r="G394" s="452"/>
    </row>
    <row r="395" spans="7:7" ht="15.75" customHeight="1">
      <c r="G395" s="452"/>
    </row>
    <row r="396" spans="7:7" ht="15.75" customHeight="1">
      <c r="G396" s="452"/>
    </row>
    <row r="397" spans="7:7" ht="15.75" customHeight="1">
      <c r="G397" s="452"/>
    </row>
    <row r="398" spans="7:7" ht="15.75" customHeight="1">
      <c r="G398" s="452"/>
    </row>
    <row r="399" spans="7:7" ht="15.75" customHeight="1">
      <c r="G399" s="452"/>
    </row>
    <row r="400" spans="7:7" ht="15.75" customHeight="1">
      <c r="G400" s="452"/>
    </row>
    <row r="401" spans="7:7" ht="15.75" customHeight="1">
      <c r="G401" s="452"/>
    </row>
    <row r="402" spans="7:7" ht="15.75" customHeight="1">
      <c r="G402" s="452"/>
    </row>
    <row r="403" spans="7:7" ht="15.75" customHeight="1">
      <c r="G403" s="452"/>
    </row>
    <row r="404" spans="7:7" ht="15.75" customHeight="1">
      <c r="G404" s="452"/>
    </row>
    <row r="405" spans="7:7" ht="15.75" customHeight="1">
      <c r="G405" s="452"/>
    </row>
    <row r="406" spans="7:7" ht="15.75" customHeight="1">
      <c r="G406" s="452"/>
    </row>
    <row r="407" spans="7:7" ht="15.75" customHeight="1">
      <c r="G407" s="452"/>
    </row>
    <row r="408" spans="7:7" ht="15.75" customHeight="1">
      <c r="G408" s="452"/>
    </row>
    <row r="409" spans="7:7" ht="15.75" customHeight="1">
      <c r="G409" s="452"/>
    </row>
    <row r="410" spans="7:7" ht="15.75" customHeight="1">
      <c r="G410" s="452"/>
    </row>
    <row r="411" spans="7:7" ht="15.75" customHeight="1">
      <c r="G411" s="452"/>
    </row>
    <row r="412" spans="7:7" ht="15.75" customHeight="1">
      <c r="G412" s="452"/>
    </row>
    <row r="413" spans="7:7" ht="15.75" customHeight="1">
      <c r="G413" s="452"/>
    </row>
    <row r="414" spans="7:7" ht="15.75" customHeight="1">
      <c r="G414" s="452"/>
    </row>
    <row r="415" spans="7:7" ht="15.75" customHeight="1">
      <c r="G415" s="452"/>
    </row>
    <row r="416" spans="7:7" ht="15.75" customHeight="1">
      <c r="G416" s="452"/>
    </row>
    <row r="417" spans="7:7" ht="15.75" customHeight="1">
      <c r="G417" s="452"/>
    </row>
    <row r="418" spans="7:7" ht="15.75" customHeight="1">
      <c r="G418" s="452"/>
    </row>
    <row r="419" spans="7:7" ht="15.75" customHeight="1">
      <c r="G419" s="452"/>
    </row>
    <row r="420" spans="7:7" ht="15.75" customHeight="1">
      <c r="G420" s="452"/>
    </row>
    <row r="421" spans="7:7" ht="15.75" customHeight="1">
      <c r="G421" s="452"/>
    </row>
    <row r="422" spans="7:7" ht="15.75" customHeight="1">
      <c r="G422" s="452"/>
    </row>
    <row r="423" spans="7:7" ht="15.75" customHeight="1">
      <c r="G423" s="452"/>
    </row>
    <row r="424" spans="7:7" ht="15.75" customHeight="1">
      <c r="G424" s="452"/>
    </row>
    <row r="425" spans="7:7" ht="15.75" customHeight="1">
      <c r="G425" s="452"/>
    </row>
    <row r="426" spans="7:7" ht="15.75" customHeight="1">
      <c r="G426" s="452"/>
    </row>
    <row r="427" spans="7:7" ht="15.75" customHeight="1">
      <c r="G427" s="452"/>
    </row>
    <row r="428" spans="7:7" ht="15.75" customHeight="1">
      <c r="G428" s="452"/>
    </row>
    <row r="429" spans="7:7" ht="15.75" customHeight="1">
      <c r="G429" s="452"/>
    </row>
    <row r="430" spans="7:7" ht="15.75" customHeight="1">
      <c r="G430" s="452"/>
    </row>
    <row r="431" spans="7:7" ht="15.75" customHeight="1">
      <c r="G431" s="452"/>
    </row>
    <row r="432" spans="7:7" ht="15.75" customHeight="1">
      <c r="G432" s="452"/>
    </row>
    <row r="433" spans="7:7" ht="15.75" customHeight="1">
      <c r="G433" s="452"/>
    </row>
    <row r="434" spans="7:7" ht="15.75" customHeight="1">
      <c r="G434" s="452"/>
    </row>
    <row r="435" spans="7:7" ht="15.75" customHeight="1">
      <c r="G435" s="452"/>
    </row>
    <row r="436" spans="7:7" ht="15.75" customHeight="1">
      <c r="G436" s="452"/>
    </row>
    <row r="437" spans="7:7" ht="15.75" customHeight="1">
      <c r="G437" s="452"/>
    </row>
    <row r="438" spans="7:7" ht="15.75" customHeight="1">
      <c r="G438" s="452"/>
    </row>
    <row r="439" spans="7:7" ht="15.75" customHeight="1">
      <c r="G439" s="452"/>
    </row>
    <row r="440" spans="7:7" ht="15.75" customHeight="1">
      <c r="G440" s="452"/>
    </row>
    <row r="441" spans="7:7" ht="15.75" customHeight="1">
      <c r="G441" s="452"/>
    </row>
    <row r="442" spans="7:7" ht="15.75" customHeight="1">
      <c r="G442" s="452"/>
    </row>
    <row r="443" spans="7:7" ht="15.75" customHeight="1">
      <c r="G443" s="452"/>
    </row>
    <row r="444" spans="7:7" ht="15.75" customHeight="1">
      <c r="G444" s="452"/>
    </row>
    <row r="445" spans="7:7" ht="15.75" customHeight="1">
      <c r="G445" s="452"/>
    </row>
    <row r="446" spans="7:7" ht="15.75" customHeight="1">
      <c r="G446" s="452"/>
    </row>
    <row r="447" spans="7:7" ht="15.75" customHeight="1">
      <c r="G447" s="452"/>
    </row>
    <row r="448" spans="7:7" ht="15.75" customHeight="1">
      <c r="G448" s="452"/>
    </row>
    <row r="449" spans="7:7" ht="15.75" customHeight="1">
      <c r="G449" s="452"/>
    </row>
    <row r="450" spans="7:7" ht="15.75" customHeight="1">
      <c r="G450" s="452"/>
    </row>
    <row r="451" spans="7:7" ht="15.75" customHeight="1">
      <c r="G451" s="452"/>
    </row>
    <row r="452" spans="7:7" ht="15.75" customHeight="1">
      <c r="G452" s="452"/>
    </row>
    <row r="453" spans="7:7" ht="15.75" customHeight="1">
      <c r="G453" s="452"/>
    </row>
    <row r="454" spans="7:7" ht="15.75" customHeight="1">
      <c r="G454" s="452"/>
    </row>
    <row r="455" spans="7:7" ht="15.75" customHeight="1">
      <c r="G455" s="452"/>
    </row>
    <row r="456" spans="7:7" ht="15.75" customHeight="1">
      <c r="G456" s="452"/>
    </row>
    <row r="457" spans="7:7" ht="15.75" customHeight="1">
      <c r="G457" s="452"/>
    </row>
    <row r="458" spans="7:7" ht="15.75" customHeight="1">
      <c r="G458" s="452"/>
    </row>
    <row r="459" spans="7:7" ht="15.75" customHeight="1">
      <c r="G459" s="452"/>
    </row>
    <row r="460" spans="7:7" ht="15.75" customHeight="1">
      <c r="G460" s="452"/>
    </row>
    <row r="461" spans="7:7" ht="15.75" customHeight="1">
      <c r="G461" s="452"/>
    </row>
    <row r="462" spans="7:7" ht="15.75" customHeight="1">
      <c r="G462" s="452"/>
    </row>
    <row r="463" spans="7:7" ht="15.75" customHeight="1">
      <c r="G463" s="452"/>
    </row>
    <row r="464" spans="7:7" ht="15.75" customHeight="1">
      <c r="G464" s="452"/>
    </row>
    <row r="465" spans="7:7" ht="15.75" customHeight="1">
      <c r="G465" s="452"/>
    </row>
    <row r="466" spans="7:7" ht="15.75" customHeight="1">
      <c r="G466" s="452"/>
    </row>
    <row r="467" spans="7:7" ht="15.75" customHeight="1">
      <c r="G467" s="452"/>
    </row>
    <row r="468" spans="7:7" ht="15.75" customHeight="1">
      <c r="G468" s="452"/>
    </row>
    <row r="469" spans="7:7" ht="15.75" customHeight="1">
      <c r="G469" s="452"/>
    </row>
    <row r="470" spans="7:7" ht="15.75" customHeight="1">
      <c r="G470" s="452"/>
    </row>
    <row r="471" spans="7:7" ht="15.75" customHeight="1">
      <c r="G471" s="452"/>
    </row>
    <row r="472" spans="7:7" ht="15.75" customHeight="1">
      <c r="G472" s="452"/>
    </row>
    <row r="473" spans="7:7" ht="15.75" customHeight="1">
      <c r="G473" s="452"/>
    </row>
    <row r="474" spans="7:7" ht="15.75" customHeight="1">
      <c r="G474" s="452"/>
    </row>
    <row r="475" spans="7:7" ht="15.75" customHeight="1">
      <c r="G475" s="452"/>
    </row>
    <row r="476" spans="7:7" ht="15.75" customHeight="1">
      <c r="G476" s="452"/>
    </row>
    <row r="477" spans="7:7" ht="15.75" customHeight="1">
      <c r="G477" s="452"/>
    </row>
    <row r="478" spans="7:7" ht="15.75" customHeight="1">
      <c r="G478" s="452"/>
    </row>
    <row r="479" spans="7:7" ht="15.75" customHeight="1">
      <c r="G479" s="452"/>
    </row>
    <row r="480" spans="7:7" ht="15.75" customHeight="1">
      <c r="G480" s="452"/>
    </row>
    <row r="481" spans="7:7" ht="15.75" customHeight="1">
      <c r="G481" s="452"/>
    </row>
    <row r="482" spans="7:7" ht="15.75" customHeight="1">
      <c r="G482" s="452"/>
    </row>
    <row r="483" spans="7:7" ht="15.75" customHeight="1">
      <c r="G483" s="452"/>
    </row>
    <row r="484" spans="7:7" ht="15.75" customHeight="1">
      <c r="G484" s="452"/>
    </row>
    <row r="485" spans="7:7" ht="15.75" customHeight="1">
      <c r="G485" s="452"/>
    </row>
    <row r="486" spans="7:7" ht="15.75" customHeight="1">
      <c r="G486" s="452"/>
    </row>
    <row r="487" spans="7:7" ht="15.75" customHeight="1">
      <c r="G487" s="452"/>
    </row>
    <row r="488" spans="7:7" ht="15.75" customHeight="1">
      <c r="G488" s="452"/>
    </row>
    <row r="489" spans="7:7" ht="15.75" customHeight="1">
      <c r="G489" s="452"/>
    </row>
    <row r="490" spans="7:7" ht="15.75" customHeight="1">
      <c r="G490" s="452"/>
    </row>
    <row r="491" spans="7:7" ht="15.75" customHeight="1">
      <c r="G491" s="452"/>
    </row>
    <row r="492" spans="7:7" ht="15.75" customHeight="1">
      <c r="G492" s="452"/>
    </row>
    <row r="493" spans="7:7" ht="15.75" customHeight="1">
      <c r="G493" s="452"/>
    </row>
    <row r="494" spans="7:7" ht="15.75" customHeight="1">
      <c r="G494" s="452"/>
    </row>
    <row r="495" spans="7:7" ht="15.75" customHeight="1">
      <c r="G495" s="452"/>
    </row>
    <row r="496" spans="7:7" ht="15.75" customHeight="1">
      <c r="G496" s="452"/>
    </row>
    <row r="497" spans="7:7" ht="15.75" customHeight="1">
      <c r="G497" s="452"/>
    </row>
    <row r="498" spans="7:7" ht="15.75" customHeight="1">
      <c r="G498" s="452"/>
    </row>
    <row r="499" spans="7:7" ht="15.75" customHeight="1">
      <c r="G499" s="452"/>
    </row>
    <row r="500" spans="7:7" ht="15.75" customHeight="1">
      <c r="G500" s="452"/>
    </row>
    <row r="501" spans="7:7" ht="15.75" customHeight="1">
      <c r="G501" s="452"/>
    </row>
    <row r="502" spans="7:7" ht="15.75" customHeight="1">
      <c r="G502" s="452"/>
    </row>
    <row r="503" spans="7:7" ht="15.75" customHeight="1">
      <c r="G503" s="452"/>
    </row>
    <row r="504" spans="7:7" ht="15.75" customHeight="1">
      <c r="G504" s="452"/>
    </row>
    <row r="505" spans="7:7" ht="15.75" customHeight="1">
      <c r="G505" s="452"/>
    </row>
    <row r="506" spans="7:7" ht="15.75" customHeight="1">
      <c r="G506" s="452"/>
    </row>
    <row r="507" spans="7:7" ht="15.75" customHeight="1">
      <c r="G507" s="452"/>
    </row>
    <row r="508" spans="7:7" ht="15.75" customHeight="1">
      <c r="G508" s="452"/>
    </row>
    <row r="509" spans="7:7" ht="15.75" customHeight="1">
      <c r="G509" s="452"/>
    </row>
    <row r="510" spans="7:7" ht="15.75" customHeight="1">
      <c r="G510" s="452"/>
    </row>
    <row r="511" spans="7:7" ht="15.75" customHeight="1">
      <c r="G511" s="452"/>
    </row>
    <row r="512" spans="7:7" ht="15.75" customHeight="1">
      <c r="G512" s="452"/>
    </row>
    <row r="513" spans="7:7" ht="15.75" customHeight="1">
      <c r="G513" s="452"/>
    </row>
    <row r="514" spans="7:7" ht="15.75" customHeight="1">
      <c r="G514" s="452"/>
    </row>
    <row r="515" spans="7:7" ht="15.75" customHeight="1">
      <c r="G515" s="452"/>
    </row>
    <row r="516" spans="7:7" ht="15.75" customHeight="1">
      <c r="G516" s="452"/>
    </row>
    <row r="517" spans="7:7" ht="15.75" customHeight="1">
      <c r="G517" s="452"/>
    </row>
    <row r="518" spans="7:7" ht="15.75" customHeight="1">
      <c r="G518" s="452"/>
    </row>
    <row r="519" spans="7:7" ht="15.75" customHeight="1">
      <c r="G519" s="452"/>
    </row>
    <row r="520" spans="7:7" ht="15.75" customHeight="1">
      <c r="G520" s="452"/>
    </row>
    <row r="521" spans="7:7" ht="15.75" customHeight="1">
      <c r="G521" s="452"/>
    </row>
    <row r="522" spans="7:7" ht="15.75" customHeight="1">
      <c r="G522" s="452"/>
    </row>
    <row r="523" spans="7:7" ht="15.75" customHeight="1">
      <c r="G523" s="452"/>
    </row>
    <row r="524" spans="7:7" ht="15.75" customHeight="1">
      <c r="G524" s="452"/>
    </row>
    <row r="525" spans="7:7" ht="15.75" customHeight="1">
      <c r="G525" s="452"/>
    </row>
    <row r="526" spans="7:7" ht="15.75" customHeight="1">
      <c r="G526" s="452"/>
    </row>
    <row r="527" spans="7:7" ht="15.75" customHeight="1">
      <c r="G527" s="452"/>
    </row>
    <row r="528" spans="7:7" ht="15.75" customHeight="1">
      <c r="G528" s="452"/>
    </row>
    <row r="529" spans="7:7" ht="15.75" customHeight="1">
      <c r="G529" s="452"/>
    </row>
    <row r="530" spans="7:7" ht="15.75" customHeight="1">
      <c r="G530" s="452"/>
    </row>
    <row r="531" spans="7:7" ht="15.75" customHeight="1">
      <c r="G531" s="452"/>
    </row>
    <row r="532" spans="7:7" ht="15.75" customHeight="1">
      <c r="G532" s="452"/>
    </row>
    <row r="533" spans="7:7" ht="15.75" customHeight="1">
      <c r="G533" s="452"/>
    </row>
    <row r="534" spans="7:7" ht="15.75" customHeight="1">
      <c r="G534" s="452"/>
    </row>
    <row r="535" spans="7:7" ht="15.75" customHeight="1">
      <c r="G535" s="452"/>
    </row>
    <row r="536" spans="7:7" ht="15.75" customHeight="1">
      <c r="G536" s="452"/>
    </row>
    <row r="537" spans="7:7" ht="15.75" customHeight="1">
      <c r="G537" s="452"/>
    </row>
    <row r="538" spans="7:7" ht="15.75" customHeight="1">
      <c r="G538" s="452"/>
    </row>
    <row r="539" spans="7:7" ht="15.75" customHeight="1">
      <c r="G539" s="452"/>
    </row>
    <row r="540" spans="7:7" ht="15.75" customHeight="1">
      <c r="G540" s="452"/>
    </row>
    <row r="541" spans="7:7" ht="15.75" customHeight="1">
      <c r="G541" s="452"/>
    </row>
    <row r="542" spans="7:7" ht="15.75" customHeight="1">
      <c r="G542" s="452"/>
    </row>
    <row r="543" spans="7:7" ht="15.75" customHeight="1">
      <c r="G543" s="452"/>
    </row>
    <row r="544" spans="7:7" ht="15.75" customHeight="1">
      <c r="G544" s="452"/>
    </row>
    <row r="545" spans="7:7" ht="15.75" customHeight="1">
      <c r="G545" s="452"/>
    </row>
    <row r="546" spans="7:7" ht="15.75" customHeight="1">
      <c r="G546" s="452"/>
    </row>
    <row r="547" spans="7:7" ht="15.75" customHeight="1">
      <c r="G547" s="452"/>
    </row>
    <row r="548" spans="7:7" ht="15.75" customHeight="1">
      <c r="G548" s="452"/>
    </row>
    <row r="549" spans="7:7" ht="15.75" customHeight="1">
      <c r="G549" s="452"/>
    </row>
    <row r="550" spans="7:7" ht="15.75" customHeight="1">
      <c r="G550" s="452"/>
    </row>
    <row r="551" spans="7:7" ht="15.75" customHeight="1">
      <c r="G551" s="452"/>
    </row>
    <row r="552" spans="7:7" ht="15.75" customHeight="1">
      <c r="G552" s="452"/>
    </row>
    <row r="553" spans="7:7" ht="15.75" customHeight="1">
      <c r="G553" s="452"/>
    </row>
    <row r="554" spans="7:7" ht="15.75" customHeight="1">
      <c r="G554" s="452"/>
    </row>
    <row r="555" spans="7:7" ht="15.75" customHeight="1">
      <c r="G555" s="452"/>
    </row>
    <row r="556" spans="7:7" ht="15.75" customHeight="1">
      <c r="G556" s="452"/>
    </row>
    <row r="557" spans="7:7" ht="15.75" customHeight="1">
      <c r="G557" s="452"/>
    </row>
    <row r="558" spans="7:7" ht="15.75" customHeight="1">
      <c r="G558" s="452"/>
    </row>
    <row r="559" spans="7:7" ht="15.75" customHeight="1">
      <c r="G559" s="452"/>
    </row>
    <row r="560" spans="7:7" ht="15.75" customHeight="1">
      <c r="G560" s="452"/>
    </row>
    <row r="561" spans="7:7" ht="15.75" customHeight="1">
      <c r="G561" s="452"/>
    </row>
    <row r="562" spans="7:7" ht="15.75" customHeight="1">
      <c r="G562" s="452"/>
    </row>
    <row r="563" spans="7:7" ht="15.75" customHeight="1">
      <c r="G563" s="452"/>
    </row>
    <row r="564" spans="7:7" ht="15.75" customHeight="1">
      <c r="G564" s="452"/>
    </row>
    <row r="565" spans="7:7" ht="15.75" customHeight="1">
      <c r="G565" s="452"/>
    </row>
    <row r="566" spans="7:7" ht="15.75" customHeight="1">
      <c r="G566" s="452"/>
    </row>
    <row r="567" spans="7:7" ht="15.75" customHeight="1">
      <c r="G567" s="452"/>
    </row>
    <row r="568" spans="7:7" ht="15.75" customHeight="1">
      <c r="G568" s="452"/>
    </row>
    <row r="569" spans="7:7" ht="15.75" customHeight="1">
      <c r="G569" s="452"/>
    </row>
    <row r="570" spans="7:7" ht="15.75" customHeight="1">
      <c r="G570" s="452"/>
    </row>
    <row r="571" spans="7:7" ht="15.75" customHeight="1">
      <c r="G571" s="452"/>
    </row>
    <row r="572" spans="7:7" ht="15.75" customHeight="1">
      <c r="G572" s="452"/>
    </row>
    <row r="573" spans="7:7" ht="15.75" customHeight="1">
      <c r="G573" s="452"/>
    </row>
    <row r="574" spans="7:7" ht="15.75" customHeight="1">
      <c r="G574" s="452"/>
    </row>
    <row r="575" spans="7:7" ht="15.75" customHeight="1">
      <c r="G575" s="452"/>
    </row>
    <row r="576" spans="7:7" ht="15.75" customHeight="1">
      <c r="G576" s="452"/>
    </row>
    <row r="577" spans="7:7" ht="15.75" customHeight="1">
      <c r="G577" s="452"/>
    </row>
    <row r="578" spans="7:7" ht="15.75" customHeight="1">
      <c r="G578" s="452"/>
    </row>
    <row r="579" spans="7:7" ht="15.75" customHeight="1">
      <c r="G579" s="452"/>
    </row>
    <row r="580" spans="7:7" ht="15.75" customHeight="1">
      <c r="G580" s="452"/>
    </row>
    <row r="581" spans="7:7" ht="15.75" customHeight="1">
      <c r="G581" s="452"/>
    </row>
    <row r="582" spans="7:7" ht="15.75" customHeight="1">
      <c r="G582" s="452"/>
    </row>
    <row r="583" spans="7:7" ht="15.75" customHeight="1">
      <c r="G583" s="452"/>
    </row>
    <row r="584" spans="7:7" ht="15.75" customHeight="1">
      <c r="G584" s="452"/>
    </row>
    <row r="585" spans="7:7" ht="15.75" customHeight="1">
      <c r="G585" s="452"/>
    </row>
    <row r="586" spans="7:7" ht="15.75" customHeight="1">
      <c r="G586" s="452"/>
    </row>
    <row r="587" spans="7:7" ht="15.75" customHeight="1">
      <c r="G587" s="452"/>
    </row>
    <row r="588" spans="7:7" ht="15.75" customHeight="1">
      <c r="G588" s="452"/>
    </row>
    <row r="589" spans="7:7" ht="15.75" customHeight="1">
      <c r="G589" s="452"/>
    </row>
    <row r="590" spans="7:7" ht="15.75" customHeight="1">
      <c r="G590" s="452"/>
    </row>
    <row r="591" spans="7:7" ht="15.75" customHeight="1">
      <c r="G591" s="452"/>
    </row>
    <row r="592" spans="7:7" ht="15.75" customHeight="1">
      <c r="G592" s="452"/>
    </row>
    <row r="593" spans="7:7" ht="15.75" customHeight="1">
      <c r="G593" s="452"/>
    </row>
    <row r="594" spans="7:7" ht="15.75" customHeight="1">
      <c r="G594" s="452"/>
    </row>
    <row r="595" spans="7:7" ht="15.75" customHeight="1">
      <c r="G595" s="452"/>
    </row>
    <row r="596" spans="7:7" ht="15.75" customHeight="1">
      <c r="G596" s="452"/>
    </row>
    <row r="597" spans="7:7" ht="15.75" customHeight="1">
      <c r="G597" s="452"/>
    </row>
    <row r="598" spans="7:7" ht="15.75" customHeight="1">
      <c r="G598" s="452"/>
    </row>
    <row r="599" spans="7:7" ht="15.75" customHeight="1">
      <c r="G599" s="452"/>
    </row>
    <row r="600" spans="7:7" ht="15.75" customHeight="1">
      <c r="G600" s="452"/>
    </row>
    <row r="601" spans="7:7" ht="15.75" customHeight="1">
      <c r="G601" s="452"/>
    </row>
    <row r="602" spans="7:7" ht="15.75" customHeight="1">
      <c r="G602" s="452"/>
    </row>
    <row r="603" spans="7:7" ht="15.75" customHeight="1">
      <c r="G603" s="452"/>
    </row>
    <row r="604" spans="7:7" ht="15.75" customHeight="1">
      <c r="G604" s="452"/>
    </row>
    <row r="605" spans="7:7" ht="15.75" customHeight="1">
      <c r="G605" s="452"/>
    </row>
    <row r="606" spans="7:7" ht="15.75" customHeight="1">
      <c r="G606" s="452"/>
    </row>
    <row r="607" spans="7:7" ht="15.75" customHeight="1">
      <c r="G607" s="452"/>
    </row>
    <row r="608" spans="7:7" ht="15.75" customHeight="1">
      <c r="G608" s="452"/>
    </row>
    <row r="609" spans="7:7" ht="15.75" customHeight="1">
      <c r="G609" s="452"/>
    </row>
    <row r="610" spans="7:7" ht="15.75" customHeight="1">
      <c r="G610" s="452"/>
    </row>
    <row r="611" spans="7:7" ht="15.75" customHeight="1">
      <c r="G611" s="452"/>
    </row>
    <row r="612" spans="7:7" ht="15.75" customHeight="1">
      <c r="G612" s="452"/>
    </row>
    <row r="613" spans="7:7" ht="15.75" customHeight="1">
      <c r="G613" s="452"/>
    </row>
    <row r="614" spans="7:7" ht="15.75" customHeight="1">
      <c r="G614" s="452"/>
    </row>
    <row r="615" spans="7:7" ht="15.75" customHeight="1">
      <c r="G615" s="452"/>
    </row>
    <row r="616" spans="7:7" ht="15.75" customHeight="1">
      <c r="G616" s="452"/>
    </row>
    <row r="617" spans="7:7" ht="15.75" customHeight="1">
      <c r="G617" s="452"/>
    </row>
    <row r="618" spans="7:7" ht="15.75" customHeight="1">
      <c r="G618" s="452"/>
    </row>
    <row r="619" spans="7:7" ht="15.75" customHeight="1">
      <c r="G619" s="452"/>
    </row>
    <row r="620" spans="7:7" ht="15.75" customHeight="1">
      <c r="G620" s="452"/>
    </row>
    <row r="621" spans="7:7" ht="15.75" customHeight="1">
      <c r="G621" s="452"/>
    </row>
    <row r="622" spans="7:7" ht="15.75" customHeight="1">
      <c r="G622" s="452"/>
    </row>
    <row r="623" spans="7:7" ht="15.75" customHeight="1">
      <c r="G623" s="452"/>
    </row>
    <row r="624" spans="7:7" ht="15.75" customHeight="1">
      <c r="G624" s="452"/>
    </row>
    <row r="625" spans="7:7" ht="15.75" customHeight="1">
      <c r="G625" s="452"/>
    </row>
    <row r="626" spans="7:7" ht="15.75" customHeight="1">
      <c r="G626" s="452"/>
    </row>
    <row r="627" spans="7:7" ht="15.75" customHeight="1">
      <c r="G627" s="452"/>
    </row>
    <row r="628" spans="7:7" ht="15.75" customHeight="1">
      <c r="G628" s="452"/>
    </row>
    <row r="629" spans="7:7" ht="15.75" customHeight="1">
      <c r="G629" s="452"/>
    </row>
    <row r="630" spans="7:7" ht="15.75" customHeight="1">
      <c r="G630" s="452"/>
    </row>
    <row r="631" spans="7:7" ht="15.75" customHeight="1">
      <c r="G631" s="452"/>
    </row>
    <row r="632" spans="7:7" ht="15.75" customHeight="1">
      <c r="G632" s="452"/>
    </row>
    <row r="633" spans="7:7" ht="15.75" customHeight="1">
      <c r="G633" s="452"/>
    </row>
    <row r="634" spans="7:7" ht="15.75" customHeight="1">
      <c r="G634" s="452"/>
    </row>
    <row r="635" spans="7:7" ht="15.75" customHeight="1">
      <c r="G635" s="452"/>
    </row>
    <row r="636" spans="7:7" ht="15.75" customHeight="1">
      <c r="G636" s="452"/>
    </row>
    <row r="637" spans="7:7" ht="15.75" customHeight="1">
      <c r="G637" s="452"/>
    </row>
    <row r="638" spans="7:7" ht="15.75" customHeight="1">
      <c r="G638" s="452"/>
    </row>
    <row r="639" spans="7:7" ht="15.75" customHeight="1">
      <c r="G639" s="452"/>
    </row>
    <row r="640" spans="7:7" ht="15.75" customHeight="1">
      <c r="G640" s="452"/>
    </row>
    <row r="641" spans="7:7" ht="15.75" customHeight="1">
      <c r="G641" s="452"/>
    </row>
    <row r="642" spans="7:7" ht="15.75" customHeight="1">
      <c r="G642" s="452"/>
    </row>
    <row r="643" spans="7:7" ht="15.75" customHeight="1">
      <c r="G643" s="452"/>
    </row>
    <row r="644" spans="7:7" ht="15.75" customHeight="1">
      <c r="G644" s="452"/>
    </row>
    <row r="645" spans="7:7" ht="15.75" customHeight="1">
      <c r="G645" s="452"/>
    </row>
    <row r="646" spans="7:7" ht="15.75" customHeight="1">
      <c r="G646" s="452"/>
    </row>
    <row r="647" spans="7:7" ht="15.75" customHeight="1">
      <c r="G647" s="452"/>
    </row>
    <row r="648" spans="7:7" ht="15.75" customHeight="1">
      <c r="G648" s="452"/>
    </row>
    <row r="649" spans="7:7" ht="15.75" customHeight="1">
      <c r="G649" s="452"/>
    </row>
    <row r="650" spans="7:7" ht="15.75" customHeight="1">
      <c r="G650" s="452"/>
    </row>
    <row r="651" spans="7:7" ht="15.75" customHeight="1">
      <c r="G651" s="452"/>
    </row>
    <row r="652" spans="7:7" ht="15.75" customHeight="1">
      <c r="G652" s="452"/>
    </row>
    <row r="653" spans="7:7" ht="15.75" customHeight="1">
      <c r="G653" s="452"/>
    </row>
    <row r="654" spans="7:7" ht="15.75" customHeight="1">
      <c r="G654" s="452"/>
    </row>
    <row r="655" spans="7:7" ht="15.75" customHeight="1">
      <c r="G655" s="452"/>
    </row>
    <row r="656" spans="7:7" ht="15.75" customHeight="1">
      <c r="G656" s="452"/>
    </row>
    <row r="657" spans="7:7" ht="15.75" customHeight="1">
      <c r="G657" s="452"/>
    </row>
    <row r="658" spans="7:7" ht="15.75" customHeight="1">
      <c r="G658" s="452"/>
    </row>
    <row r="659" spans="7:7" ht="15.75" customHeight="1">
      <c r="G659" s="452"/>
    </row>
    <row r="660" spans="7:7" ht="15.75" customHeight="1">
      <c r="G660" s="452"/>
    </row>
    <row r="661" spans="7:7" ht="15.75" customHeight="1">
      <c r="G661" s="452"/>
    </row>
    <row r="662" spans="7:7" ht="15.75" customHeight="1">
      <c r="G662" s="452"/>
    </row>
    <row r="663" spans="7:7" ht="15.75" customHeight="1">
      <c r="G663" s="452"/>
    </row>
    <row r="664" spans="7:7" ht="15.75" customHeight="1">
      <c r="G664" s="452"/>
    </row>
    <row r="665" spans="7:7" ht="15.75" customHeight="1">
      <c r="G665" s="452"/>
    </row>
    <row r="666" spans="7:7" ht="15.75" customHeight="1">
      <c r="G666" s="452"/>
    </row>
    <row r="667" spans="7:7" ht="15.75" customHeight="1">
      <c r="G667" s="452"/>
    </row>
    <row r="668" spans="7:7" ht="15.75" customHeight="1">
      <c r="G668" s="452"/>
    </row>
    <row r="669" spans="7:7" ht="15.75" customHeight="1">
      <c r="G669" s="452"/>
    </row>
    <row r="670" spans="7:7" ht="15.75" customHeight="1">
      <c r="G670" s="452"/>
    </row>
    <row r="671" spans="7:7" ht="15.75" customHeight="1">
      <c r="G671" s="452"/>
    </row>
    <row r="672" spans="7:7" ht="15.75" customHeight="1">
      <c r="G672" s="452"/>
    </row>
    <row r="673" spans="7:7" ht="15.75" customHeight="1">
      <c r="G673" s="452"/>
    </row>
    <row r="674" spans="7:7" ht="15.75" customHeight="1">
      <c r="G674" s="452"/>
    </row>
    <row r="675" spans="7:7" ht="15.75" customHeight="1">
      <c r="G675" s="452"/>
    </row>
    <row r="676" spans="7:7" ht="15.75" customHeight="1">
      <c r="G676" s="452"/>
    </row>
    <row r="677" spans="7:7" ht="15.75" customHeight="1">
      <c r="G677" s="452"/>
    </row>
    <row r="678" spans="7:7" ht="15.75" customHeight="1">
      <c r="G678" s="452"/>
    </row>
    <row r="679" spans="7:7" ht="15.75" customHeight="1">
      <c r="G679" s="452"/>
    </row>
    <row r="680" spans="7:7" ht="15.75" customHeight="1">
      <c r="G680" s="452"/>
    </row>
    <row r="681" spans="7:7" ht="15.75" customHeight="1">
      <c r="G681" s="452"/>
    </row>
    <row r="682" spans="7:7" ht="15.75" customHeight="1">
      <c r="G682" s="452"/>
    </row>
    <row r="683" spans="7:7" ht="15.75" customHeight="1">
      <c r="G683" s="452"/>
    </row>
    <row r="684" spans="7:7" ht="15.75" customHeight="1">
      <c r="G684" s="452"/>
    </row>
    <row r="685" spans="7:7" ht="15.75" customHeight="1">
      <c r="G685" s="452"/>
    </row>
    <row r="686" spans="7:7" ht="15.75" customHeight="1">
      <c r="G686" s="452"/>
    </row>
    <row r="687" spans="7:7" ht="15.75" customHeight="1">
      <c r="G687" s="452"/>
    </row>
    <row r="688" spans="7:7" ht="15.75" customHeight="1">
      <c r="G688" s="452"/>
    </row>
    <row r="689" spans="7:7" ht="15.75" customHeight="1">
      <c r="G689" s="452"/>
    </row>
    <row r="690" spans="7:7" ht="15.75" customHeight="1">
      <c r="G690" s="452"/>
    </row>
    <row r="691" spans="7:7" ht="15.75" customHeight="1">
      <c r="G691" s="452"/>
    </row>
    <row r="692" spans="7:7" ht="15.75" customHeight="1">
      <c r="G692" s="452"/>
    </row>
    <row r="693" spans="7:7" ht="15.75" customHeight="1">
      <c r="G693" s="452"/>
    </row>
    <row r="694" spans="7:7" ht="15.75" customHeight="1">
      <c r="G694" s="452"/>
    </row>
    <row r="695" spans="7:7" ht="15.75" customHeight="1">
      <c r="G695" s="452"/>
    </row>
    <row r="696" spans="7:7" ht="15.75" customHeight="1">
      <c r="G696" s="452"/>
    </row>
    <row r="697" spans="7:7" ht="15.75" customHeight="1">
      <c r="G697" s="452"/>
    </row>
    <row r="698" spans="7:7" ht="15.75" customHeight="1">
      <c r="G698" s="452"/>
    </row>
    <row r="699" spans="7:7" ht="15.75" customHeight="1">
      <c r="G699" s="452"/>
    </row>
    <row r="700" spans="7:7" ht="15.75" customHeight="1">
      <c r="G700" s="452"/>
    </row>
    <row r="701" spans="7:7" ht="15.75" customHeight="1">
      <c r="G701" s="452"/>
    </row>
    <row r="702" spans="7:7" ht="15.75" customHeight="1">
      <c r="G702" s="452"/>
    </row>
    <row r="703" spans="7:7" ht="15.75" customHeight="1">
      <c r="G703" s="452"/>
    </row>
    <row r="704" spans="7:7" ht="15.75" customHeight="1">
      <c r="G704" s="452"/>
    </row>
    <row r="705" spans="7:7" ht="15.75" customHeight="1">
      <c r="G705" s="452"/>
    </row>
    <row r="706" spans="7:7" ht="15.75" customHeight="1">
      <c r="G706" s="452"/>
    </row>
    <row r="707" spans="7:7" ht="15.75" customHeight="1">
      <c r="G707" s="452"/>
    </row>
    <row r="708" spans="7:7" ht="15.75" customHeight="1">
      <c r="G708" s="452"/>
    </row>
    <row r="709" spans="7:7" ht="15.75" customHeight="1">
      <c r="G709" s="452"/>
    </row>
    <row r="710" spans="7:7" ht="15.75" customHeight="1">
      <c r="G710" s="452"/>
    </row>
    <row r="711" spans="7:7" ht="15.75" customHeight="1">
      <c r="G711" s="452"/>
    </row>
    <row r="712" spans="7:7" ht="15.75" customHeight="1">
      <c r="G712" s="452"/>
    </row>
    <row r="713" spans="7:7" ht="15.75" customHeight="1">
      <c r="G713" s="452"/>
    </row>
    <row r="714" spans="7:7" ht="15.75" customHeight="1">
      <c r="G714" s="452"/>
    </row>
    <row r="715" spans="7:7" ht="15.75" customHeight="1">
      <c r="G715" s="452"/>
    </row>
    <row r="716" spans="7:7" ht="15.75" customHeight="1">
      <c r="G716" s="452"/>
    </row>
    <row r="717" spans="7:7" ht="15.75" customHeight="1">
      <c r="G717" s="452"/>
    </row>
    <row r="718" spans="7:7" ht="15.75" customHeight="1">
      <c r="G718" s="452"/>
    </row>
    <row r="719" spans="7:7" ht="15.75" customHeight="1">
      <c r="G719" s="452"/>
    </row>
    <row r="720" spans="7:7" ht="15.75" customHeight="1">
      <c r="G720" s="452"/>
    </row>
    <row r="721" spans="7:7" ht="15.75" customHeight="1">
      <c r="G721" s="452"/>
    </row>
    <row r="722" spans="7:7" ht="15.75" customHeight="1">
      <c r="G722" s="452"/>
    </row>
    <row r="723" spans="7:7" ht="15.75" customHeight="1">
      <c r="G723" s="452"/>
    </row>
    <row r="724" spans="7:7" ht="15.75" customHeight="1">
      <c r="G724" s="452"/>
    </row>
    <row r="725" spans="7:7" ht="15.75" customHeight="1">
      <c r="G725" s="452"/>
    </row>
    <row r="726" spans="7:7" ht="15.75" customHeight="1">
      <c r="G726" s="452"/>
    </row>
    <row r="727" spans="7:7" ht="15.75" customHeight="1">
      <c r="G727" s="452"/>
    </row>
    <row r="728" spans="7:7" ht="15.75" customHeight="1">
      <c r="G728" s="452"/>
    </row>
    <row r="729" spans="7:7" ht="15.75" customHeight="1">
      <c r="G729" s="452"/>
    </row>
    <row r="730" spans="7:7" ht="15.75" customHeight="1">
      <c r="G730" s="452"/>
    </row>
    <row r="731" spans="7:7" ht="15.75" customHeight="1">
      <c r="G731" s="452"/>
    </row>
    <row r="732" spans="7:7" ht="15.75" customHeight="1">
      <c r="G732" s="452"/>
    </row>
    <row r="733" spans="7:7" ht="15.75" customHeight="1">
      <c r="G733" s="452"/>
    </row>
    <row r="734" spans="7:7" ht="15.75" customHeight="1">
      <c r="G734" s="452"/>
    </row>
    <row r="735" spans="7:7" ht="15.75" customHeight="1">
      <c r="G735" s="452"/>
    </row>
    <row r="736" spans="7:7" ht="15.75" customHeight="1">
      <c r="G736" s="452"/>
    </row>
    <row r="737" spans="7:7" ht="15.75" customHeight="1">
      <c r="G737" s="452"/>
    </row>
    <row r="738" spans="7:7" ht="15.75" customHeight="1">
      <c r="G738" s="452"/>
    </row>
    <row r="739" spans="7:7" ht="15.75" customHeight="1">
      <c r="G739" s="452"/>
    </row>
    <row r="740" spans="7:7" ht="15.75" customHeight="1">
      <c r="G740" s="452"/>
    </row>
    <row r="741" spans="7:7" ht="15.75" customHeight="1">
      <c r="G741" s="452"/>
    </row>
    <row r="742" spans="7:7" ht="15.75" customHeight="1">
      <c r="G742" s="452"/>
    </row>
    <row r="743" spans="7:7" ht="15.75" customHeight="1">
      <c r="G743" s="452"/>
    </row>
    <row r="744" spans="7:7" ht="15.75" customHeight="1">
      <c r="G744" s="452"/>
    </row>
    <row r="745" spans="7:7" ht="15.75" customHeight="1">
      <c r="G745" s="452"/>
    </row>
    <row r="746" spans="7:7" ht="15.75" customHeight="1">
      <c r="G746" s="452"/>
    </row>
    <row r="747" spans="7:7" ht="15.75" customHeight="1">
      <c r="G747" s="452"/>
    </row>
    <row r="748" spans="7:7" ht="15.75" customHeight="1">
      <c r="G748" s="452"/>
    </row>
    <row r="749" spans="7:7" ht="15.75" customHeight="1">
      <c r="G749" s="452"/>
    </row>
    <row r="750" spans="7:7" ht="15.75" customHeight="1">
      <c r="G750" s="452"/>
    </row>
    <row r="751" spans="7:7" ht="15.75" customHeight="1">
      <c r="G751" s="452"/>
    </row>
    <row r="752" spans="7:7" ht="15.75" customHeight="1">
      <c r="G752" s="452"/>
    </row>
    <row r="753" spans="7:7" ht="15.75" customHeight="1">
      <c r="G753" s="452"/>
    </row>
    <row r="754" spans="7:7" ht="15.75" customHeight="1">
      <c r="G754" s="452"/>
    </row>
    <row r="755" spans="7:7" ht="15.75" customHeight="1">
      <c r="G755" s="452"/>
    </row>
    <row r="756" spans="7:7" ht="15.75" customHeight="1">
      <c r="G756" s="452"/>
    </row>
    <row r="757" spans="7:7" ht="15.75" customHeight="1">
      <c r="G757" s="452"/>
    </row>
    <row r="758" spans="7:7" ht="15.75" customHeight="1">
      <c r="G758" s="452"/>
    </row>
    <row r="759" spans="7:7" ht="15.75" customHeight="1">
      <c r="G759" s="452"/>
    </row>
    <row r="760" spans="7:7" ht="15.75" customHeight="1">
      <c r="G760" s="452"/>
    </row>
    <row r="761" spans="7:7" ht="15.75" customHeight="1">
      <c r="G761" s="452"/>
    </row>
    <row r="762" spans="7:7" ht="15.75" customHeight="1">
      <c r="G762" s="452"/>
    </row>
    <row r="763" spans="7:7" ht="15.75" customHeight="1">
      <c r="G763" s="452"/>
    </row>
    <row r="764" spans="7:7" ht="15.75" customHeight="1">
      <c r="G764" s="452"/>
    </row>
    <row r="765" spans="7:7" ht="15.75" customHeight="1">
      <c r="G765" s="452"/>
    </row>
    <row r="766" spans="7:7" ht="15.75" customHeight="1">
      <c r="G766" s="452"/>
    </row>
    <row r="767" spans="7:7" ht="15.75" customHeight="1">
      <c r="G767" s="452"/>
    </row>
    <row r="768" spans="7:7" ht="15.75" customHeight="1">
      <c r="G768" s="452"/>
    </row>
    <row r="769" spans="7:7" ht="15.75" customHeight="1">
      <c r="G769" s="452"/>
    </row>
    <row r="770" spans="7:7" ht="15.75" customHeight="1">
      <c r="G770" s="452"/>
    </row>
    <row r="771" spans="7:7" ht="15.75" customHeight="1">
      <c r="G771" s="452"/>
    </row>
    <row r="772" spans="7:7" ht="15.75" customHeight="1">
      <c r="G772" s="452"/>
    </row>
    <row r="773" spans="7:7" ht="15.75" customHeight="1">
      <c r="G773" s="452"/>
    </row>
    <row r="774" spans="7:7" ht="15.75" customHeight="1">
      <c r="G774" s="452"/>
    </row>
    <row r="775" spans="7:7" ht="15.75" customHeight="1">
      <c r="G775" s="452"/>
    </row>
    <row r="776" spans="7:7" ht="15.75" customHeight="1">
      <c r="G776" s="452"/>
    </row>
    <row r="777" spans="7:7" ht="15.75" customHeight="1">
      <c r="G777" s="452"/>
    </row>
    <row r="778" spans="7:7" ht="15.75" customHeight="1">
      <c r="G778" s="452"/>
    </row>
    <row r="779" spans="7:7" ht="15.75" customHeight="1">
      <c r="G779" s="452"/>
    </row>
    <row r="780" spans="7:7" ht="15.75" customHeight="1">
      <c r="G780" s="452"/>
    </row>
    <row r="781" spans="7:7" ht="15.75" customHeight="1">
      <c r="G781" s="452"/>
    </row>
    <row r="782" spans="7:7" ht="15.75" customHeight="1">
      <c r="G782" s="452"/>
    </row>
    <row r="783" spans="7:7" ht="15.75" customHeight="1">
      <c r="G783" s="452"/>
    </row>
    <row r="784" spans="7:7" ht="15.75" customHeight="1">
      <c r="G784" s="452"/>
    </row>
    <row r="785" spans="7:7" ht="15.75" customHeight="1">
      <c r="G785" s="452"/>
    </row>
    <row r="786" spans="7:7" ht="15.75" customHeight="1">
      <c r="G786" s="452"/>
    </row>
    <row r="787" spans="7:7" ht="15.75" customHeight="1">
      <c r="G787" s="452"/>
    </row>
    <row r="788" spans="7:7" ht="15.75" customHeight="1">
      <c r="G788" s="452"/>
    </row>
    <row r="789" spans="7:7" ht="15.75" customHeight="1">
      <c r="G789" s="452"/>
    </row>
    <row r="790" spans="7:7" ht="15.75" customHeight="1">
      <c r="G790" s="452"/>
    </row>
    <row r="791" spans="7:7" ht="15.75" customHeight="1">
      <c r="G791" s="452"/>
    </row>
    <row r="792" spans="7:7" ht="15.75" customHeight="1">
      <c r="G792" s="452"/>
    </row>
    <row r="793" spans="7:7" ht="15.75" customHeight="1">
      <c r="G793" s="452"/>
    </row>
    <row r="794" spans="7:7" ht="15.75" customHeight="1">
      <c r="G794" s="452"/>
    </row>
    <row r="795" spans="7:7" ht="15.75" customHeight="1">
      <c r="G795" s="452"/>
    </row>
    <row r="796" spans="7:7" ht="15.75" customHeight="1">
      <c r="G796" s="452"/>
    </row>
    <row r="797" spans="7:7" ht="15.75" customHeight="1">
      <c r="G797" s="452"/>
    </row>
    <row r="798" spans="7:7" ht="15.75" customHeight="1">
      <c r="G798" s="452"/>
    </row>
    <row r="799" spans="7:7" ht="15.75" customHeight="1">
      <c r="G799" s="452"/>
    </row>
    <row r="800" spans="7:7" ht="15.75" customHeight="1">
      <c r="G800" s="452"/>
    </row>
    <row r="801" spans="7:7" ht="15.75" customHeight="1">
      <c r="G801" s="452"/>
    </row>
    <row r="802" spans="7:7" ht="15.75" customHeight="1">
      <c r="G802" s="452"/>
    </row>
    <row r="803" spans="7:7" ht="15.75" customHeight="1">
      <c r="G803" s="452"/>
    </row>
    <row r="804" spans="7:7" ht="15.75" customHeight="1">
      <c r="G804" s="452"/>
    </row>
    <row r="805" spans="7:7" ht="15.75" customHeight="1">
      <c r="G805" s="452"/>
    </row>
    <row r="806" spans="7:7" ht="15.75" customHeight="1">
      <c r="G806" s="452"/>
    </row>
    <row r="807" spans="7:7" ht="15.75" customHeight="1">
      <c r="G807" s="452"/>
    </row>
    <row r="808" spans="7:7" ht="15.75" customHeight="1">
      <c r="G808" s="452"/>
    </row>
    <row r="809" spans="7:7" ht="15.75" customHeight="1">
      <c r="G809" s="452"/>
    </row>
    <row r="810" spans="7:7" ht="15.75" customHeight="1">
      <c r="G810" s="452"/>
    </row>
    <row r="811" spans="7:7" ht="15.75" customHeight="1">
      <c r="G811" s="452"/>
    </row>
    <row r="812" spans="7:7" ht="15.75" customHeight="1">
      <c r="G812" s="452"/>
    </row>
    <row r="813" spans="7:7" ht="15.75" customHeight="1">
      <c r="G813" s="452"/>
    </row>
    <row r="814" spans="7:7" ht="15.75" customHeight="1">
      <c r="G814" s="452"/>
    </row>
    <row r="815" spans="7:7" ht="15.75" customHeight="1">
      <c r="G815" s="452"/>
    </row>
    <row r="816" spans="7:7" ht="15.75" customHeight="1">
      <c r="G816" s="452"/>
    </row>
    <row r="817" spans="7:7" ht="15.75" customHeight="1">
      <c r="G817" s="452"/>
    </row>
    <row r="818" spans="7:7" ht="15.75" customHeight="1">
      <c r="G818" s="452"/>
    </row>
    <row r="819" spans="7:7" ht="15.75" customHeight="1">
      <c r="G819" s="452"/>
    </row>
    <row r="820" spans="7:7" ht="15.75" customHeight="1">
      <c r="G820" s="452"/>
    </row>
    <row r="821" spans="7:7" ht="15.75" customHeight="1">
      <c r="G821" s="452"/>
    </row>
    <row r="822" spans="7:7" ht="15.75" customHeight="1">
      <c r="G822" s="452"/>
    </row>
    <row r="823" spans="7:7" ht="15.75" customHeight="1">
      <c r="G823" s="452"/>
    </row>
    <row r="824" spans="7:7" ht="15.75" customHeight="1">
      <c r="G824" s="452"/>
    </row>
    <row r="825" spans="7:7" ht="15.75" customHeight="1">
      <c r="G825" s="452"/>
    </row>
    <row r="826" spans="7:7" ht="15.75" customHeight="1">
      <c r="G826" s="452"/>
    </row>
    <row r="827" spans="7:7" ht="15.75" customHeight="1">
      <c r="G827" s="452"/>
    </row>
    <row r="828" spans="7:7" ht="15.75" customHeight="1">
      <c r="G828" s="452"/>
    </row>
    <row r="829" spans="7:7" ht="15.75" customHeight="1">
      <c r="G829" s="452"/>
    </row>
    <row r="830" spans="7:7" ht="15.75" customHeight="1">
      <c r="G830" s="452"/>
    </row>
    <row r="831" spans="7:7" ht="15.75" customHeight="1">
      <c r="G831" s="452"/>
    </row>
    <row r="832" spans="7:7" ht="15.75" customHeight="1">
      <c r="G832" s="452"/>
    </row>
    <row r="833" spans="7:7" ht="15.75" customHeight="1">
      <c r="G833" s="452"/>
    </row>
    <row r="834" spans="7:7" ht="15.75" customHeight="1">
      <c r="G834" s="452"/>
    </row>
    <row r="835" spans="7:7" ht="15.75" customHeight="1">
      <c r="G835" s="452"/>
    </row>
    <row r="836" spans="7:7" ht="15.75" customHeight="1">
      <c r="G836" s="452"/>
    </row>
    <row r="837" spans="7:7" ht="15.75" customHeight="1">
      <c r="G837" s="452"/>
    </row>
    <row r="838" spans="7:7" ht="15.75" customHeight="1">
      <c r="G838" s="452"/>
    </row>
    <row r="839" spans="7:7" ht="15.75" customHeight="1">
      <c r="G839" s="452"/>
    </row>
    <row r="840" spans="7:7" ht="15.75" customHeight="1">
      <c r="G840" s="452"/>
    </row>
    <row r="841" spans="7:7" ht="15.75" customHeight="1">
      <c r="G841" s="452"/>
    </row>
    <row r="842" spans="7:7" ht="15.75" customHeight="1">
      <c r="G842" s="452"/>
    </row>
    <row r="843" spans="7:7" ht="15.75" customHeight="1">
      <c r="G843" s="452"/>
    </row>
    <row r="844" spans="7:7" ht="15.75" customHeight="1">
      <c r="G844" s="452"/>
    </row>
    <row r="845" spans="7:7" ht="15.75" customHeight="1">
      <c r="G845" s="452"/>
    </row>
    <row r="846" spans="7:7" ht="15.75" customHeight="1">
      <c r="G846" s="452"/>
    </row>
    <row r="847" spans="7:7" ht="15.75" customHeight="1">
      <c r="G847" s="452"/>
    </row>
    <row r="848" spans="7:7" ht="15.75" customHeight="1">
      <c r="G848" s="452"/>
    </row>
    <row r="849" spans="7:7" ht="15.75" customHeight="1">
      <c r="G849" s="452"/>
    </row>
    <row r="850" spans="7:7" ht="15.75" customHeight="1">
      <c r="G850" s="452"/>
    </row>
    <row r="851" spans="7:7" ht="15.75" customHeight="1">
      <c r="G851" s="452"/>
    </row>
    <row r="852" spans="7:7" ht="15.75" customHeight="1">
      <c r="G852" s="452"/>
    </row>
    <row r="853" spans="7:7" ht="15.75" customHeight="1">
      <c r="G853" s="452"/>
    </row>
    <row r="854" spans="7:7" ht="15.75" customHeight="1">
      <c r="G854" s="452"/>
    </row>
    <row r="855" spans="7:7" ht="15.75" customHeight="1">
      <c r="G855" s="452"/>
    </row>
    <row r="856" spans="7:7" ht="15.75" customHeight="1">
      <c r="G856" s="452"/>
    </row>
    <row r="857" spans="7:7" ht="15.75" customHeight="1">
      <c r="G857" s="452"/>
    </row>
    <row r="858" spans="7:7" ht="15.75" customHeight="1">
      <c r="G858" s="452"/>
    </row>
    <row r="859" spans="7:7" ht="15.75" customHeight="1">
      <c r="G859" s="452"/>
    </row>
    <row r="860" spans="7:7" ht="15.75" customHeight="1">
      <c r="G860" s="452"/>
    </row>
    <row r="861" spans="7:7" ht="15.75" customHeight="1">
      <c r="G861" s="452"/>
    </row>
    <row r="862" spans="7:7" ht="15.75" customHeight="1">
      <c r="G862" s="452"/>
    </row>
    <row r="863" spans="7:7" ht="15.75" customHeight="1">
      <c r="G863" s="452"/>
    </row>
    <row r="864" spans="7:7" ht="15.75" customHeight="1">
      <c r="G864" s="452"/>
    </row>
    <row r="865" spans="7:7" ht="15.75" customHeight="1">
      <c r="G865" s="452"/>
    </row>
    <row r="866" spans="7:7" ht="15.75" customHeight="1">
      <c r="G866" s="452"/>
    </row>
    <row r="867" spans="7:7" ht="15.75" customHeight="1">
      <c r="G867" s="452"/>
    </row>
    <row r="868" spans="7:7" ht="15.75" customHeight="1">
      <c r="G868" s="452"/>
    </row>
    <row r="869" spans="7:7" ht="15.75" customHeight="1">
      <c r="G869" s="452"/>
    </row>
    <row r="870" spans="7:7" ht="15.75" customHeight="1">
      <c r="G870" s="452"/>
    </row>
    <row r="871" spans="7:7" ht="15.75" customHeight="1">
      <c r="G871" s="452"/>
    </row>
    <row r="872" spans="7:7" ht="15.75" customHeight="1">
      <c r="G872" s="452"/>
    </row>
    <row r="873" spans="7:7" ht="15.75" customHeight="1">
      <c r="G873" s="452"/>
    </row>
    <row r="874" spans="7:7" ht="15.75" customHeight="1">
      <c r="G874" s="452"/>
    </row>
    <row r="875" spans="7:7" ht="15.75" customHeight="1">
      <c r="G875" s="452"/>
    </row>
    <row r="876" spans="7:7" ht="15.75" customHeight="1">
      <c r="G876" s="452"/>
    </row>
    <row r="877" spans="7:7" ht="15.75" customHeight="1">
      <c r="G877" s="452"/>
    </row>
    <row r="878" spans="7:7" ht="15.75" customHeight="1">
      <c r="G878" s="452"/>
    </row>
    <row r="879" spans="7:7" ht="15.75" customHeight="1">
      <c r="G879" s="452"/>
    </row>
    <row r="880" spans="7:7" ht="15.75" customHeight="1">
      <c r="G880" s="452"/>
    </row>
    <row r="881" spans="7:7" ht="15.75" customHeight="1">
      <c r="G881" s="452"/>
    </row>
    <row r="882" spans="7:7" ht="15.75" customHeight="1">
      <c r="G882" s="452"/>
    </row>
    <row r="883" spans="7:7" ht="15.75" customHeight="1">
      <c r="G883" s="452"/>
    </row>
    <row r="884" spans="7:7" ht="15.75" customHeight="1">
      <c r="G884" s="452"/>
    </row>
    <row r="885" spans="7:7" ht="15.75" customHeight="1">
      <c r="G885" s="452"/>
    </row>
    <row r="886" spans="7:7" ht="15.75" customHeight="1">
      <c r="G886" s="452"/>
    </row>
    <row r="887" spans="7:7" ht="15.75" customHeight="1">
      <c r="G887" s="452"/>
    </row>
    <row r="888" spans="7:7" ht="15.75" customHeight="1">
      <c r="G888" s="452"/>
    </row>
    <row r="889" spans="7:7" ht="15.75" customHeight="1">
      <c r="G889" s="452"/>
    </row>
    <row r="890" spans="7:7" ht="15.75" customHeight="1">
      <c r="G890" s="452"/>
    </row>
    <row r="891" spans="7:7" ht="15.75" customHeight="1">
      <c r="G891" s="452"/>
    </row>
    <row r="892" spans="7:7" ht="15.75" customHeight="1">
      <c r="G892" s="452"/>
    </row>
    <row r="893" spans="7:7" ht="15.75" customHeight="1">
      <c r="G893" s="452"/>
    </row>
    <row r="894" spans="7:7" ht="15.75" customHeight="1">
      <c r="G894" s="452"/>
    </row>
    <row r="895" spans="7:7" ht="15.75" customHeight="1">
      <c r="G895" s="452"/>
    </row>
    <row r="896" spans="7:7" ht="15.75" customHeight="1">
      <c r="G896" s="452"/>
    </row>
    <row r="897" spans="7:7" ht="15.75" customHeight="1">
      <c r="G897" s="452"/>
    </row>
    <row r="898" spans="7:7" ht="15.75" customHeight="1">
      <c r="G898" s="452"/>
    </row>
    <row r="899" spans="7:7" ht="15.75" customHeight="1">
      <c r="G899" s="452"/>
    </row>
    <row r="900" spans="7:7" ht="15.75" customHeight="1">
      <c r="G900" s="452"/>
    </row>
    <row r="901" spans="7:7" ht="15.75" customHeight="1">
      <c r="G901" s="452"/>
    </row>
    <row r="902" spans="7:7" ht="15.75" customHeight="1">
      <c r="G902" s="452"/>
    </row>
    <row r="903" spans="7:7" ht="15.75" customHeight="1">
      <c r="G903" s="452"/>
    </row>
    <row r="904" spans="7:7" ht="15.75" customHeight="1">
      <c r="G904" s="452"/>
    </row>
    <row r="905" spans="7:7" ht="15.75" customHeight="1">
      <c r="G905" s="452"/>
    </row>
    <row r="906" spans="7:7" ht="15.75" customHeight="1">
      <c r="G906" s="452"/>
    </row>
    <row r="907" spans="7:7" ht="15.75" customHeight="1">
      <c r="G907" s="452"/>
    </row>
    <row r="908" spans="7:7" ht="15.75" customHeight="1">
      <c r="G908" s="452"/>
    </row>
    <row r="909" spans="7:7" ht="15.75" customHeight="1">
      <c r="G909" s="452"/>
    </row>
    <row r="910" spans="7:7" ht="15.75" customHeight="1">
      <c r="G910" s="452"/>
    </row>
    <row r="911" spans="7:7" ht="15.75" customHeight="1">
      <c r="G911" s="452"/>
    </row>
    <row r="912" spans="7:7" ht="15.75" customHeight="1">
      <c r="G912" s="452"/>
    </row>
    <row r="913" spans="7:7" ht="15.75" customHeight="1">
      <c r="G913" s="452"/>
    </row>
    <row r="914" spans="7:7" ht="15.75" customHeight="1">
      <c r="G914" s="452"/>
    </row>
    <row r="915" spans="7:7" ht="15.75" customHeight="1">
      <c r="G915" s="452"/>
    </row>
    <row r="916" spans="7:7" ht="15.75" customHeight="1">
      <c r="G916" s="452"/>
    </row>
    <row r="917" spans="7:7" ht="15.75" customHeight="1">
      <c r="G917" s="452"/>
    </row>
    <row r="918" spans="7:7" ht="15.75" customHeight="1">
      <c r="G918" s="452"/>
    </row>
    <row r="919" spans="7:7" ht="15.75" customHeight="1">
      <c r="G919" s="452"/>
    </row>
    <row r="920" spans="7:7" ht="15.75" customHeight="1">
      <c r="G920" s="452"/>
    </row>
    <row r="921" spans="7:7" ht="15.75" customHeight="1">
      <c r="G921" s="452"/>
    </row>
    <row r="922" spans="7:7" ht="15.75" customHeight="1">
      <c r="G922" s="452"/>
    </row>
    <row r="923" spans="7:7" ht="15.75" customHeight="1">
      <c r="G923" s="452"/>
    </row>
    <row r="924" spans="7:7" ht="15.75" customHeight="1">
      <c r="G924" s="452"/>
    </row>
    <row r="925" spans="7:7" ht="15.75" customHeight="1">
      <c r="G925" s="452"/>
    </row>
    <row r="926" spans="7:7" ht="15.75" customHeight="1">
      <c r="G926" s="452"/>
    </row>
    <row r="927" spans="7:7" ht="15.75" customHeight="1">
      <c r="G927" s="452"/>
    </row>
    <row r="928" spans="7:7" ht="15.75" customHeight="1">
      <c r="G928" s="452"/>
    </row>
    <row r="929" spans="7:7" ht="15.75" customHeight="1">
      <c r="G929" s="452"/>
    </row>
    <row r="930" spans="7:7" ht="15.75" customHeight="1">
      <c r="G930" s="452"/>
    </row>
    <row r="931" spans="7:7" ht="15.75" customHeight="1">
      <c r="G931" s="452"/>
    </row>
    <row r="932" spans="7:7" ht="15.75" customHeight="1">
      <c r="G932" s="452"/>
    </row>
    <row r="933" spans="7:7" ht="15.75" customHeight="1">
      <c r="G933" s="452"/>
    </row>
    <row r="934" spans="7:7" ht="15.75" customHeight="1">
      <c r="G934" s="452"/>
    </row>
    <row r="935" spans="7:7" ht="15.75" customHeight="1">
      <c r="G935" s="452"/>
    </row>
    <row r="936" spans="7:7" ht="15.75" customHeight="1">
      <c r="G936" s="452"/>
    </row>
    <row r="937" spans="7:7" ht="15.75" customHeight="1">
      <c r="G937" s="452"/>
    </row>
    <row r="938" spans="7:7" ht="15.75" customHeight="1">
      <c r="G938" s="452"/>
    </row>
    <row r="939" spans="7:7" ht="15.75" customHeight="1">
      <c r="G939" s="452"/>
    </row>
    <row r="940" spans="7:7" ht="15.75" customHeight="1">
      <c r="G940" s="452"/>
    </row>
    <row r="941" spans="7:7" ht="15.75" customHeight="1">
      <c r="G941" s="452"/>
    </row>
    <row r="942" spans="7:7" ht="15.75" customHeight="1">
      <c r="G942" s="452"/>
    </row>
    <row r="943" spans="7:7" ht="15.75" customHeight="1">
      <c r="G943" s="452"/>
    </row>
    <row r="944" spans="7:7" ht="15.75" customHeight="1">
      <c r="G944" s="452"/>
    </row>
    <row r="945" spans="7:7" ht="15.75" customHeight="1">
      <c r="G945" s="452"/>
    </row>
    <row r="946" spans="7:7" ht="15.75" customHeight="1">
      <c r="G946" s="452"/>
    </row>
    <row r="947" spans="7:7" ht="15.75" customHeight="1">
      <c r="G947" s="452"/>
    </row>
    <row r="948" spans="7:7" ht="15.75" customHeight="1">
      <c r="G948" s="452"/>
    </row>
    <row r="949" spans="7:7" ht="15.75" customHeight="1">
      <c r="G949" s="452"/>
    </row>
    <row r="950" spans="7:7" ht="15.75" customHeight="1">
      <c r="G950" s="452"/>
    </row>
    <row r="951" spans="7:7" ht="15.75" customHeight="1">
      <c r="G951" s="452"/>
    </row>
    <row r="952" spans="7:7" ht="15.75" customHeight="1">
      <c r="G952" s="452"/>
    </row>
    <row r="953" spans="7:7" ht="15.75" customHeight="1">
      <c r="G953" s="452"/>
    </row>
    <row r="954" spans="7:7" ht="15.75" customHeight="1">
      <c r="G954" s="452"/>
    </row>
    <row r="955" spans="7:7" ht="15.75" customHeight="1">
      <c r="G955" s="452"/>
    </row>
    <row r="956" spans="7:7" ht="15.75" customHeight="1">
      <c r="G956" s="452"/>
    </row>
    <row r="957" spans="7:7" ht="15.75" customHeight="1">
      <c r="G957" s="452"/>
    </row>
    <row r="958" spans="7:7" ht="15.75" customHeight="1">
      <c r="G958" s="452"/>
    </row>
    <row r="959" spans="7:7" ht="15.75" customHeight="1">
      <c r="G959" s="452"/>
    </row>
    <row r="960" spans="7:7" ht="15.75" customHeight="1">
      <c r="G960" s="452"/>
    </row>
    <row r="961" spans="7:7" ht="15.75" customHeight="1">
      <c r="G961" s="452"/>
    </row>
    <row r="962" spans="7:7" ht="15.75" customHeight="1">
      <c r="G962" s="452"/>
    </row>
    <row r="963" spans="7:7" ht="15.75" customHeight="1">
      <c r="G963" s="452"/>
    </row>
    <row r="964" spans="7:7" ht="15.75" customHeight="1">
      <c r="G964" s="452"/>
    </row>
    <row r="965" spans="7:7" ht="15.75" customHeight="1">
      <c r="G965" s="452"/>
    </row>
    <row r="966" spans="7:7" ht="15.75" customHeight="1">
      <c r="G966" s="452"/>
    </row>
    <row r="967" spans="7:7" ht="15.75" customHeight="1">
      <c r="G967" s="452"/>
    </row>
    <row r="968" spans="7:7" ht="15.75" customHeight="1">
      <c r="G968" s="452"/>
    </row>
    <row r="969" spans="7:7" ht="15.75" customHeight="1">
      <c r="G969" s="452"/>
    </row>
    <row r="970" spans="7:7" ht="15.75" customHeight="1">
      <c r="G970" s="452"/>
    </row>
    <row r="971" spans="7:7" ht="15.75" customHeight="1">
      <c r="G971" s="452"/>
    </row>
    <row r="972" spans="7:7" ht="15.75" customHeight="1">
      <c r="G972" s="452"/>
    </row>
    <row r="973" spans="7:7" ht="15.75" customHeight="1">
      <c r="G973" s="452"/>
    </row>
    <row r="974" spans="7:7" ht="15.75" customHeight="1">
      <c r="G974" s="452"/>
    </row>
    <row r="975" spans="7:7" ht="15.75" customHeight="1">
      <c r="G975" s="452"/>
    </row>
    <row r="976" spans="7:7" ht="15.75" customHeight="1">
      <c r="G976" s="452"/>
    </row>
    <row r="977" spans="7:7" ht="15.75" customHeight="1">
      <c r="G977" s="452"/>
    </row>
    <row r="978" spans="7:7" ht="15.75" customHeight="1">
      <c r="G978" s="452"/>
    </row>
    <row r="979" spans="7:7" ht="15.75" customHeight="1">
      <c r="G979" s="452"/>
    </row>
    <row r="980" spans="7:7" ht="15.75" customHeight="1">
      <c r="G980" s="452"/>
    </row>
    <row r="981" spans="7:7" ht="15.75" customHeight="1">
      <c r="G981" s="452"/>
    </row>
    <row r="982" spans="7:7" ht="15.75" customHeight="1">
      <c r="G982" s="452"/>
    </row>
    <row r="983" spans="7:7" ht="15.75" customHeight="1">
      <c r="G983" s="452"/>
    </row>
    <row r="984" spans="7:7" ht="15.75" customHeight="1">
      <c r="G984" s="452"/>
    </row>
    <row r="985" spans="7:7" ht="15.75" customHeight="1">
      <c r="G985" s="452"/>
    </row>
    <row r="986" spans="7:7" ht="15.75" customHeight="1">
      <c r="G986" s="452"/>
    </row>
    <row r="987" spans="7:7" ht="15.75" customHeight="1">
      <c r="G987" s="452"/>
    </row>
    <row r="988" spans="7:7" ht="15.75" customHeight="1">
      <c r="G988" s="452"/>
    </row>
    <row r="989" spans="7:7" ht="15.75" customHeight="1">
      <c r="G989" s="452"/>
    </row>
    <row r="990" spans="7:7" ht="15.75" customHeight="1">
      <c r="G990" s="452"/>
    </row>
    <row r="991" spans="7:7" ht="15.75" customHeight="1">
      <c r="G991" s="452"/>
    </row>
    <row r="992" spans="7:7" ht="15.75" customHeight="1">
      <c r="G992" s="452"/>
    </row>
    <row r="993" spans="7:7" ht="15.75" customHeight="1">
      <c r="G993" s="452"/>
    </row>
    <row r="994" spans="7:7" ht="15.75" customHeight="1">
      <c r="G994" s="452"/>
    </row>
    <row r="995" spans="7:7" ht="15.75" customHeight="1">
      <c r="G995" s="452"/>
    </row>
    <row r="996" spans="7:7" ht="15.75" customHeight="1">
      <c r="G996" s="452"/>
    </row>
    <row r="997" spans="7:7" ht="15.75" customHeight="1">
      <c r="G997" s="452"/>
    </row>
    <row r="998" spans="7:7" ht="15.75" customHeight="1">
      <c r="G998" s="452"/>
    </row>
  </sheetData>
  <pageMargins left="0.7" right="0.7" top="0.75" bottom="0.75" header="0" footer="0"/>
  <pageSetup orientation="landscape"/>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1000"/>
  <sheetViews>
    <sheetView workbookViewId="0"/>
  </sheetViews>
  <sheetFormatPr defaultColWidth="12.5703125" defaultRowHeight="15" customHeight="1"/>
  <cols>
    <col min="1" max="1" width="4" customWidth="1"/>
    <col min="2" max="2" width="26.85546875" customWidth="1"/>
    <col min="3" max="3" width="10" customWidth="1"/>
    <col min="4" max="4" width="14.7109375" customWidth="1"/>
    <col min="5" max="6" width="12.28515625" customWidth="1"/>
    <col min="7" max="7" width="14" customWidth="1"/>
    <col min="8" max="8" width="1.85546875" customWidth="1"/>
    <col min="9" max="9" width="61.28515625" customWidth="1"/>
    <col min="10" max="10" width="2.140625" customWidth="1"/>
    <col min="11" max="11" width="8.42578125" customWidth="1"/>
    <col min="12" max="13" width="8.85546875" customWidth="1"/>
    <col min="14" max="15" width="8.5703125" customWidth="1"/>
    <col min="16" max="16" width="9.7109375" customWidth="1"/>
    <col min="17" max="17" width="9.140625" customWidth="1"/>
    <col min="18" max="19" width="9.28515625" customWidth="1"/>
    <col min="20" max="22" width="8.5703125" customWidth="1"/>
    <col min="23" max="23" width="2.42578125" customWidth="1"/>
    <col min="24" max="24" width="12.42578125" customWidth="1"/>
  </cols>
  <sheetData>
    <row r="1" spans="1:24" ht="15.75" customHeight="1">
      <c r="A1" s="128" t="s">
        <v>122</v>
      </c>
      <c r="B1" s="129"/>
      <c r="C1" s="292"/>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465</v>
      </c>
      <c r="B2" s="129"/>
      <c r="C2" s="292"/>
      <c r="D2" s="129"/>
      <c r="E2" s="129"/>
      <c r="F2" s="129"/>
      <c r="G2" s="129"/>
      <c r="H2" s="129"/>
      <c r="I2" s="129"/>
      <c r="J2" s="129"/>
      <c r="K2" s="129"/>
      <c r="L2" s="129"/>
      <c r="M2" s="129"/>
      <c r="N2" s="129"/>
      <c r="O2" s="129"/>
      <c r="P2" s="129"/>
      <c r="Q2" s="129"/>
      <c r="R2" s="129"/>
      <c r="S2" s="129"/>
      <c r="T2" s="129"/>
      <c r="U2" s="129"/>
      <c r="V2" s="129"/>
      <c r="W2" s="129"/>
      <c r="X2" s="129"/>
    </row>
    <row r="3" spans="1:24" ht="15.75" customHeight="1">
      <c r="A3" s="293"/>
      <c r="B3" s="294"/>
      <c r="C3" s="292"/>
      <c r="D3" s="129"/>
      <c r="E3" s="129"/>
      <c r="F3" s="129"/>
      <c r="G3" s="129"/>
      <c r="H3" s="129"/>
      <c r="I3" s="129"/>
      <c r="J3" s="129"/>
      <c r="K3" s="129"/>
      <c r="L3" s="129"/>
      <c r="M3" s="129"/>
      <c r="N3" s="129"/>
      <c r="O3" s="129"/>
      <c r="P3" s="129"/>
      <c r="Q3" s="129"/>
      <c r="R3" s="135"/>
      <c r="S3" s="135"/>
      <c r="T3" s="129"/>
      <c r="U3" s="129"/>
      <c r="V3" s="129"/>
      <c r="W3" s="129"/>
      <c r="X3" s="129"/>
    </row>
    <row r="4" spans="1:24" ht="36"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128"/>
      <c r="B5" s="129" t="s">
        <v>466</v>
      </c>
      <c r="C5" s="292">
        <v>175000</v>
      </c>
      <c r="D5" s="358">
        <v>116730.04000000001</v>
      </c>
      <c r="E5" s="358">
        <v>110000</v>
      </c>
      <c r="F5" s="358">
        <v>175000</v>
      </c>
      <c r="G5" s="358">
        <f t="shared" ref="G5:G7" si="0">F5-C5</f>
        <v>0</v>
      </c>
      <c r="H5" s="482"/>
      <c r="I5" s="358"/>
      <c r="J5" s="482"/>
      <c r="K5" s="359">
        <v>3890</v>
      </c>
      <c r="L5" s="361">
        <v>21389</v>
      </c>
      <c r="M5" s="361">
        <v>18472</v>
      </c>
      <c r="N5" s="361">
        <v>17500</v>
      </c>
      <c r="O5" s="361">
        <v>14583</v>
      </c>
      <c r="P5" s="361">
        <v>14583</v>
      </c>
      <c r="Q5" s="361">
        <v>17500</v>
      </c>
      <c r="R5" s="361">
        <v>14583</v>
      </c>
      <c r="S5" s="361">
        <v>19444</v>
      </c>
      <c r="T5" s="361">
        <v>16528</v>
      </c>
      <c r="U5" s="361">
        <v>16528</v>
      </c>
      <c r="V5" s="361">
        <v>0</v>
      </c>
      <c r="W5" s="483"/>
      <c r="X5" s="361">
        <f t="shared" ref="X5:X7" si="1">SUM(K5:V5)</f>
        <v>175000</v>
      </c>
    </row>
    <row r="6" spans="1:24" ht="15.75" customHeight="1">
      <c r="A6" s="128"/>
      <c r="B6" s="129" t="s">
        <v>467</v>
      </c>
      <c r="C6" s="292">
        <v>240000</v>
      </c>
      <c r="D6" s="358">
        <v>144183</v>
      </c>
      <c r="E6" s="358">
        <v>135000</v>
      </c>
      <c r="F6" s="358">
        <v>240000</v>
      </c>
      <c r="G6" s="358">
        <f t="shared" si="0"/>
        <v>0</v>
      </c>
      <c r="H6" s="482"/>
      <c r="I6" s="358"/>
      <c r="J6" s="482"/>
      <c r="K6" s="359">
        <v>5333</v>
      </c>
      <c r="L6" s="361">
        <v>29333</v>
      </c>
      <c r="M6" s="361">
        <v>25333</v>
      </c>
      <c r="N6" s="361">
        <v>24000</v>
      </c>
      <c r="O6" s="361">
        <v>20000</v>
      </c>
      <c r="P6" s="361">
        <v>20000</v>
      </c>
      <c r="Q6" s="361">
        <v>24000</v>
      </c>
      <c r="R6" s="361">
        <v>20000</v>
      </c>
      <c r="S6" s="361">
        <v>26667</v>
      </c>
      <c r="T6" s="361">
        <v>22667</v>
      </c>
      <c r="U6" s="361">
        <v>22667</v>
      </c>
      <c r="V6" s="361">
        <v>0</v>
      </c>
      <c r="W6" s="483"/>
      <c r="X6" s="361">
        <f t="shared" si="1"/>
        <v>240000</v>
      </c>
    </row>
    <row r="7" spans="1:24" ht="15.75" customHeight="1">
      <c r="A7" s="129"/>
      <c r="B7" s="129" t="s">
        <v>468</v>
      </c>
      <c r="C7" s="320">
        <v>0</v>
      </c>
      <c r="D7" s="493">
        <v>763.76</v>
      </c>
      <c r="E7" s="494">
        <v>0</v>
      </c>
      <c r="F7" s="494">
        <v>0</v>
      </c>
      <c r="G7" s="358">
        <f t="shared" si="0"/>
        <v>0</v>
      </c>
      <c r="H7" s="453"/>
      <c r="I7" s="494"/>
      <c r="J7" s="453"/>
      <c r="K7" s="495">
        <v>0</v>
      </c>
      <c r="L7" s="495">
        <v>0</v>
      </c>
      <c r="M7" s="495">
        <v>0</v>
      </c>
      <c r="N7" s="495">
        <v>0</v>
      </c>
      <c r="O7" s="495">
        <v>0</v>
      </c>
      <c r="P7" s="495">
        <v>0</v>
      </c>
      <c r="Q7" s="495">
        <v>0</v>
      </c>
      <c r="R7" s="495">
        <v>0</v>
      </c>
      <c r="S7" s="495">
        <v>0</v>
      </c>
      <c r="T7" s="495">
        <v>0</v>
      </c>
      <c r="U7" s="495">
        <v>0</v>
      </c>
      <c r="V7" s="495">
        <v>0</v>
      </c>
      <c r="W7" s="496"/>
      <c r="X7" s="361">
        <f t="shared" si="1"/>
        <v>0</v>
      </c>
    </row>
    <row r="8" spans="1:24" ht="15.75" customHeight="1">
      <c r="A8" s="128" t="s">
        <v>153</v>
      </c>
      <c r="B8" s="128"/>
      <c r="C8" s="335">
        <f t="shared" ref="C8:G8" si="2">SUM(C5:C7)</f>
        <v>415000</v>
      </c>
      <c r="D8" s="190">
        <f t="shared" si="2"/>
        <v>261676.80000000002</v>
      </c>
      <c r="E8" s="190">
        <f t="shared" si="2"/>
        <v>245000</v>
      </c>
      <c r="F8" s="190">
        <f t="shared" si="2"/>
        <v>415000</v>
      </c>
      <c r="G8" s="190">
        <f t="shared" si="2"/>
        <v>0</v>
      </c>
      <c r="H8" s="192"/>
      <c r="I8" s="190"/>
      <c r="J8" s="192"/>
      <c r="K8" s="471">
        <f t="shared" ref="K8:V8" si="3">SUM(K5:K7)</f>
        <v>9223</v>
      </c>
      <c r="L8" s="471">
        <f t="shared" si="3"/>
        <v>50722</v>
      </c>
      <c r="M8" s="471">
        <f t="shared" si="3"/>
        <v>43805</v>
      </c>
      <c r="N8" s="471">
        <f t="shared" si="3"/>
        <v>41500</v>
      </c>
      <c r="O8" s="471">
        <f t="shared" si="3"/>
        <v>34583</v>
      </c>
      <c r="P8" s="471">
        <f t="shared" si="3"/>
        <v>34583</v>
      </c>
      <c r="Q8" s="471">
        <f t="shared" si="3"/>
        <v>41500</v>
      </c>
      <c r="R8" s="471">
        <f t="shared" si="3"/>
        <v>34583</v>
      </c>
      <c r="S8" s="471">
        <f t="shared" si="3"/>
        <v>46111</v>
      </c>
      <c r="T8" s="471">
        <f t="shared" si="3"/>
        <v>39195</v>
      </c>
      <c r="U8" s="471">
        <f t="shared" si="3"/>
        <v>39195</v>
      </c>
      <c r="V8" s="471">
        <f t="shared" si="3"/>
        <v>0</v>
      </c>
      <c r="W8" s="472"/>
      <c r="X8" s="471">
        <f>SUM(X5:X7)</f>
        <v>415000</v>
      </c>
    </row>
    <row r="9" spans="1:24" ht="15.75" customHeight="1">
      <c r="A9" s="128"/>
      <c r="B9" s="129"/>
      <c r="C9" s="292"/>
      <c r="D9" s="135"/>
      <c r="E9" s="135"/>
      <c r="F9" s="135"/>
      <c r="G9" s="135"/>
      <c r="H9" s="135"/>
      <c r="I9" s="135"/>
      <c r="J9" s="135"/>
      <c r="K9" s="135"/>
      <c r="L9" s="135"/>
      <c r="M9" s="135"/>
      <c r="N9" s="135"/>
      <c r="O9" s="135"/>
      <c r="P9" s="135"/>
      <c r="Q9" s="135"/>
      <c r="R9" s="135"/>
      <c r="S9" s="135"/>
      <c r="T9" s="135"/>
      <c r="U9" s="135"/>
      <c r="V9" s="135"/>
      <c r="W9" s="135"/>
      <c r="X9" s="135"/>
    </row>
    <row r="10" spans="1:24" ht="33.75" customHeight="1">
      <c r="A10" s="128" t="s">
        <v>154</v>
      </c>
      <c r="B10" s="129"/>
      <c r="C10" s="137"/>
      <c r="D10" s="140"/>
      <c r="E10" s="140"/>
      <c r="F10" s="140"/>
      <c r="G10" s="140"/>
      <c r="H10" s="295"/>
      <c r="I10" s="295"/>
      <c r="J10" s="295"/>
      <c r="K10" s="295"/>
      <c r="L10" s="295"/>
      <c r="M10" s="295"/>
      <c r="N10" s="295"/>
      <c r="O10" s="295"/>
      <c r="P10" s="295"/>
      <c r="Q10" s="295"/>
      <c r="R10" s="295"/>
      <c r="S10" s="295"/>
      <c r="T10" s="295"/>
      <c r="U10" s="295"/>
      <c r="V10" s="295"/>
      <c r="W10" s="295"/>
      <c r="X10" s="295"/>
    </row>
    <row r="11" spans="1:24" ht="15.75" customHeight="1">
      <c r="A11" s="129"/>
      <c r="B11" s="129" t="s">
        <v>469</v>
      </c>
      <c r="C11" s="320">
        <v>250000</v>
      </c>
      <c r="D11" s="497">
        <v>132676.18999999997</v>
      </c>
      <c r="E11" s="497">
        <f t="shared" ref="E11:F11" si="4">SUM(E12:E14)</f>
        <v>130000</v>
      </c>
      <c r="F11" s="497">
        <f t="shared" si="4"/>
        <v>270000</v>
      </c>
      <c r="G11" s="311">
        <f t="shared" ref="G11:G25" si="5">F11-C11</f>
        <v>20000</v>
      </c>
      <c r="H11" s="317"/>
      <c r="I11" s="67"/>
      <c r="J11" s="317"/>
      <c r="K11" s="498">
        <f t="shared" ref="K11:V11" si="6">SUM(K12:K14)</f>
        <v>6001</v>
      </c>
      <c r="L11" s="499">
        <f t="shared" si="6"/>
        <v>33000</v>
      </c>
      <c r="M11" s="499">
        <f t="shared" si="6"/>
        <v>28500</v>
      </c>
      <c r="N11" s="499">
        <f t="shared" si="6"/>
        <v>27000</v>
      </c>
      <c r="O11" s="499">
        <f t="shared" si="6"/>
        <v>22499</v>
      </c>
      <c r="P11" s="499">
        <f t="shared" si="6"/>
        <v>22499</v>
      </c>
      <c r="Q11" s="499">
        <f t="shared" si="6"/>
        <v>27000</v>
      </c>
      <c r="R11" s="499">
        <f t="shared" si="6"/>
        <v>22499</v>
      </c>
      <c r="S11" s="499">
        <f t="shared" si="6"/>
        <v>30000</v>
      </c>
      <c r="T11" s="499">
        <f t="shared" si="6"/>
        <v>25501</v>
      </c>
      <c r="U11" s="499">
        <f t="shared" si="6"/>
        <v>25501</v>
      </c>
      <c r="V11" s="499">
        <f t="shared" si="6"/>
        <v>0</v>
      </c>
      <c r="W11" s="406"/>
      <c r="X11" s="499">
        <f>SUM(X12:X14)</f>
        <v>270000</v>
      </c>
    </row>
    <row r="12" spans="1:24" ht="15.75" customHeight="1">
      <c r="A12" s="129"/>
      <c r="B12" s="346" t="s">
        <v>470</v>
      </c>
      <c r="C12" s="320">
        <v>0</v>
      </c>
      <c r="D12" s="67"/>
      <c r="E12" s="67">
        <v>105000</v>
      </c>
      <c r="F12" s="67">
        <v>220000</v>
      </c>
      <c r="G12" s="351">
        <f t="shared" si="5"/>
        <v>220000</v>
      </c>
      <c r="H12" s="317"/>
      <c r="I12" s="67"/>
      <c r="J12" s="317"/>
      <c r="K12" s="318">
        <v>5445</v>
      </c>
      <c r="L12" s="319">
        <v>26889</v>
      </c>
      <c r="M12" s="319">
        <v>23222</v>
      </c>
      <c r="N12" s="319">
        <v>22000</v>
      </c>
      <c r="O12" s="319">
        <v>18333</v>
      </c>
      <c r="P12" s="319">
        <v>18333</v>
      </c>
      <c r="Q12" s="319">
        <v>22000</v>
      </c>
      <c r="R12" s="319">
        <v>18333</v>
      </c>
      <c r="S12" s="319">
        <v>24444</v>
      </c>
      <c r="T12" s="319">
        <v>20778</v>
      </c>
      <c r="U12" s="319">
        <v>20778</v>
      </c>
      <c r="V12" s="319" t="s">
        <v>15</v>
      </c>
      <c r="W12" s="406"/>
      <c r="X12" s="319">
        <f t="shared" ref="X12:X16" si="7">SUM(K12:V12)</f>
        <v>220555</v>
      </c>
    </row>
    <row r="13" spans="1:24" ht="15.75" customHeight="1">
      <c r="A13" s="129"/>
      <c r="B13" s="346" t="s">
        <v>471</v>
      </c>
      <c r="C13" s="320">
        <v>0</v>
      </c>
      <c r="D13" s="67"/>
      <c r="E13" s="67">
        <v>20000</v>
      </c>
      <c r="F13" s="67">
        <v>40000</v>
      </c>
      <c r="G13" s="351">
        <f t="shared" si="5"/>
        <v>40000</v>
      </c>
      <c r="H13" s="317"/>
      <c r="I13" s="597" t="s">
        <v>472</v>
      </c>
      <c r="J13" s="317"/>
      <c r="K13" s="318">
        <v>445</v>
      </c>
      <c r="L13" s="319">
        <v>4889</v>
      </c>
      <c r="M13" s="319">
        <v>4222</v>
      </c>
      <c r="N13" s="319">
        <v>4000</v>
      </c>
      <c r="O13" s="319">
        <v>3333</v>
      </c>
      <c r="P13" s="319">
        <v>3333</v>
      </c>
      <c r="Q13" s="319">
        <v>4000</v>
      </c>
      <c r="R13" s="319">
        <v>3333</v>
      </c>
      <c r="S13" s="319">
        <v>4445</v>
      </c>
      <c r="T13" s="319">
        <v>3778</v>
      </c>
      <c r="U13" s="319">
        <v>3778</v>
      </c>
      <c r="V13" s="319" t="s">
        <v>15</v>
      </c>
      <c r="W13" s="406"/>
      <c r="X13" s="319">
        <f t="shared" si="7"/>
        <v>39556</v>
      </c>
    </row>
    <row r="14" spans="1:24" ht="15.75" customHeight="1">
      <c r="A14" s="129"/>
      <c r="B14" s="346" t="s">
        <v>473</v>
      </c>
      <c r="C14" s="320">
        <v>0</v>
      </c>
      <c r="D14" s="67"/>
      <c r="E14" s="67">
        <v>5000</v>
      </c>
      <c r="F14" s="67">
        <v>10000</v>
      </c>
      <c r="G14" s="351">
        <f t="shared" si="5"/>
        <v>10000</v>
      </c>
      <c r="H14" s="317"/>
      <c r="I14" s="580"/>
      <c r="J14" s="317"/>
      <c r="K14" s="318">
        <v>111</v>
      </c>
      <c r="L14" s="319">
        <v>1222</v>
      </c>
      <c r="M14" s="319">
        <v>1056</v>
      </c>
      <c r="N14" s="319">
        <v>1000</v>
      </c>
      <c r="O14" s="319">
        <v>833</v>
      </c>
      <c r="P14" s="319">
        <v>833</v>
      </c>
      <c r="Q14" s="319">
        <v>1000</v>
      </c>
      <c r="R14" s="319">
        <v>833</v>
      </c>
      <c r="S14" s="319">
        <v>1111</v>
      </c>
      <c r="T14" s="319">
        <v>945</v>
      </c>
      <c r="U14" s="319">
        <v>945</v>
      </c>
      <c r="V14" s="319" t="s">
        <v>15</v>
      </c>
      <c r="W14" s="406"/>
      <c r="X14" s="319">
        <f t="shared" si="7"/>
        <v>9889</v>
      </c>
    </row>
    <row r="15" spans="1:24" ht="15.75" customHeight="1">
      <c r="A15" s="129"/>
      <c r="B15" s="129" t="s">
        <v>474</v>
      </c>
      <c r="C15" s="320">
        <v>20000</v>
      </c>
      <c r="D15" s="67">
        <v>4748.03</v>
      </c>
      <c r="E15" s="67">
        <v>3000</v>
      </c>
      <c r="F15" s="67">
        <v>0</v>
      </c>
      <c r="G15" s="351">
        <f t="shared" si="5"/>
        <v>-20000</v>
      </c>
      <c r="H15" s="317"/>
      <c r="I15" s="316" t="s">
        <v>475</v>
      </c>
      <c r="J15" s="317"/>
      <c r="K15" s="318"/>
      <c r="L15" s="319"/>
      <c r="M15" s="319"/>
      <c r="N15" s="319"/>
      <c r="O15" s="319"/>
      <c r="P15" s="319"/>
      <c r="Q15" s="319"/>
      <c r="R15" s="319"/>
      <c r="S15" s="319"/>
      <c r="T15" s="319"/>
      <c r="U15" s="319"/>
      <c r="V15" s="319"/>
      <c r="W15" s="406"/>
      <c r="X15" s="319">
        <f t="shared" si="7"/>
        <v>0</v>
      </c>
    </row>
    <row r="16" spans="1:24" ht="15.75" customHeight="1">
      <c r="A16" s="129"/>
      <c r="B16" s="129" t="s">
        <v>476</v>
      </c>
      <c r="C16" s="320">
        <v>42000</v>
      </c>
      <c r="D16" s="67">
        <v>25702.909999999996</v>
      </c>
      <c r="E16" s="67">
        <v>23000</v>
      </c>
      <c r="F16" s="67">
        <v>50000</v>
      </c>
      <c r="G16" s="351">
        <f t="shared" si="5"/>
        <v>8000</v>
      </c>
      <c r="H16" s="317"/>
      <c r="I16" s="316" t="s">
        <v>477</v>
      </c>
      <c r="J16" s="317"/>
      <c r="K16" s="318">
        <v>555</v>
      </c>
      <c r="L16" s="319">
        <v>6111</v>
      </c>
      <c r="M16" s="319">
        <v>5278</v>
      </c>
      <c r="N16" s="319">
        <v>5000</v>
      </c>
      <c r="O16" s="319">
        <v>4167</v>
      </c>
      <c r="P16" s="319">
        <v>4167</v>
      </c>
      <c r="Q16" s="319">
        <v>5000</v>
      </c>
      <c r="R16" s="319">
        <v>4167</v>
      </c>
      <c r="S16" s="319">
        <v>5556</v>
      </c>
      <c r="T16" s="319">
        <v>4722</v>
      </c>
      <c r="U16" s="319">
        <v>4722</v>
      </c>
      <c r="V16" s="319">
        <v>555</v>
      </c>
      <c r="W16" s="406"/>
      <c r="X16" s="319">
        <f t="shared" si="7"/>
        <v>50000</v>
      </c>
    </row>
    <row r="17" spans="1:24" ht="15.75" hidden="1" customHeight="1">
      <c r="A17" s="128"/>
      <c r="B17" s="128" t="s">
        <v>478</v>
      </c>
      <c r="C17" s="384">
        <f>C18+C21</f>
        <v>0</v>
      </c>
      <c r="D17" s="311"/>
      <c r="E17" s="311"/>
      <c r="F17" s="311"/>
      <c r="G17" s="311">
        <f t="shared" si="5"/>
        <v>0</v>
      </c>
      <c r="H17" s="219"/>
      <c r="I17" s="311"/>
      <c r="J17" s="219"/>
      <c r="K17" s="225">
        <f>K18+K21</f>
        <v>0</v>
      </c>
      <c r="L17" s="225"/>
      <c r="M17" s="225">
        <f>M18+M21</f>
        <v>0</v>
      </c>
      <c r="N17" s="225"/>
      <c r="O17" s="225">
        <f>O18+O21</f>
        <v>0</v>
      </c>
      <c r="P17" s="225"/>
      <c r="Q17" s="225">
        <f>Q18+Q21</f>
        <v>0</v>
      </c>
      <c r="R17" s="225"/>
      <c r="S17" s="225">
        <f>S18+S21</f>
        <v>0</v>
      </c>
      <c r="T17" s="225"/>
      <c r="U17" s="225">
        <f>U18+U21</f>
        <v>0</v>
      </c>
      <c r="V17" s="225"/>
      <c r="W17" s="405"/>
      <c r="X17" s="225">
        <f>X18+X21</f>
        <v>0</v>
      </c>
    </row>
    <row r="18" spans="1:24" ht="15.75" hidden="1" customHeight="1">
      <c r="A18" s="128"/>
      <c r="B18" s="128" t="s">
        <v>479</v>
      </c>
      <c r="C18" s="320">
        <v>0</v>
      </c>
      <c r="D18" s="367"/>
      <c r="E18" s="367"/>
      <c r="F18" s="367"/>
      <c r="G18" s="311">
        <f t="shared" si="5"/>
        <v>0</v>
      </c>
      <c r="H18" s="219"/>
      <c r="I18" s="367"/>
      <c r="J18" s="219"/>
      <c r="K18" s="220">
        <f>SUM(K19:K20)</f>
        <v>0</v>
      </c>
      <c r="L18" s="220"/>
      <c r="M18" s="220">
        <f>SUM(M19:M20)</f>
        <v>0</v>
      </c>
      <c r="N18" s="220"/>
      <c r="O18" s="220">
        <f>SUM(O19:O20)</f>
        <v>0</v>
      </c>
      <c r="P18" s="220"/>
      <c r="Q18" s="220">
        <f>SUM(Q19:Q20)</f>
        <v>0</v>
      </c>
      <c r="R18" s="220"/>
      <c r="S18" s="220">
        <f>SUM(S19:S20)</f>
        <v>0</v>
      </c>
      <c r="T18" s="220"/>
      <c r="U18" s="220">
        <f>SUM(U19:U20)</f>
        <v>0</v>
      </c>
      <c r="V18" s="220"/>
      <c r="W18" s="405"/>
      <c r="X18" s="220">
        <f>SUM(X19:X20)</f>
        <v>0</v>
      </c>
    </row>
    <row r="19" spans="1:24" ht="15.75" hidden="1" customHeight="1">
      <c r="A19" s="128"/>
      <c r="B19" s="129" t="s">
        <v>480</v>
      </c>
      <c r="C19" s="320">
        <v>0</v>
      </c>
      <c r="D19" s="351"/>
      <c r="E19" s="351"/>
      <c r="F19" s="351"/>
      <c r="G19" s="311">
        <f t="shared" si="5"/>
        <v>0</v>
      </c>
      <c r="H19" s="211"/>
      <c r="I19" s="351"/>
      <c r="J19" s="211"/>
      <c r="K19" s="212">
        <v>0</v>
      </c>
      <c r="L19" s="212"/>
      <c r="M19" s="212">
        <v>0</v>
      </c>
      <c r="N19" s="212"/>
      <c r="O19" s="212">
        <v>0</v>
      </c>
      <c r="P19" s="212"/>
      <c r="Q19" s="212">
        <v>0</v>
      </c>
      <c r="R19" s="212"/>
      <c r="S19" s="212">
        <v>0</v>
      </c>
      <c r="T19" s="212"/>
      <c r="U19" s="212">
        <v>0</v>
      </c>
      <c r="V19" s="212"/>
      <c r="W19" s="393"/>
      <c r="X19" s="212">
        <v>0</v>
      </c>
    </row>
    <row r="20" spans="1:24" ht="15.75" hidden="1" customHeight="1">
      <c r="A20" s="128"/>
      <c r="B20" s="129" t="s">
        <v>481</v>
      </c>
      <c r="C20" s="320">
        <v>0</v>
      </c>
      <c r="D20" s="351"/>
      <c r="E20" s="351"/>
      <c r="F20" s="351"/>
      <c r="G20" s="311">
        <f t="shared" si="5"/>
        <v>0</v>
      </c>
      <c r="H20" s="211"/>
      <c r="I20" s="351"/>
      <c r="J20" s="211"/>
      <c r="K20" s="212">
        <v>0</v>
      </c>
      <c r="L20" s="212"/>
      <c r="M20" s="212">
        <v>0</v>
      </c>
      <c r="N20" s="212"/>
      <c r="O20" s="212">
        <v>0</v>
      </c>
      <c r="P20" s="212"/>
      <c r="Q20" s="212">
        <v>0</v>
      </c>
      <c r="R20" s="212"/>
      <c r="S20" s="212">
        <v>0</v>
      </c>
      <c r="T20" s="212"/>
      <c r="U20" s="212">
        <v>0</v>
      </c>
      <c r="V20" s="212"/>
      <c r="W20" s="393"/>
      <c r="X20" s="212">
        <v>0</v>
      </c>
    </row>
    <row r="21" spans="1:24" ht="15.75" hidden="1" customHeight="1">
      <c r="A21" s="128"/>
      <c r="B21" s="500" t="s">
        <v>482</v>
      </c>
      <c r="C21" s="320">
        <v>0</v>
      </c>
      <c r="D21" s="408"/>
      <c r="E21" s="408"/>
      <c r="F21" s="408"/>
      <c r="G21" s="311">
        <f t="shared" si="5"/>
        <v>0</v>
      </c>
      <c r="H21" s="211"/>
      <c r="I21" s="408"/>
      <c r="J21" s="211"/>
      <c r="K21" s="242">
        <v>0</v>
      </c>
      <c r="L21" s="242"/>
      <c r="M21" s="242">
        <v>0</v>
      </c>
      <c r="N21" s="242"/>
      <c r="O21" s="242">
        <v>0</v>
      </c>
      <c r="P21" s="242"/>
      <c r="Q21" s="242">
        <v>0</v>
      </c>
      <c r="R21" s="242"/>
      <c r="S21" s="242">
        <v>0</v>
      </c>
      <c r="T21" s="242"/>
      <c r="U21" s="242">
        <v>0</v>
      </c>
      <c r="V21" s="242"/>
      <c r="W21" s="393"/>
      <c r="X21" s="242">
        <v>0</v>
      </c>
    </row>
    <row r="22" spans="1:24" ht="15.75" hidden="1" customHeight="1">
      <c r="A22" s="128"/>
      <c r="B22" s="128" t="s">
        <v>299</v>
      </c>
      <c r="C22" s="384">
        <f>SUM(C23:C24)</f>
        <v>0</v>
      </c>
      <c r="D22" s="311"/>
      <c r="E22" s="311"/>
      <c r="F22" s="311"/>
      <c r="G22" s="311">
        <f t="shared" si="5"/>
        <v>0</v>
      </c>
      <c r="H22" s="219"/>
      <c r="I22" s="311"/>
      <c r="J22" s="219"/>
      <c r="K22" s="225">
        <f>SUM(K23:K24)</f>
        <v>0</v>
      </c>
      <c r="L22" s="225"/>
      <c r="M22" s="225">
        <f>SUM(M23:M24)</f>
        <v>0</v>
      </c>
      <c r="N22" s="225"/>
      <c r="O22" s="225">
        <f>SUM(O23:O24)</f>
        <v>0</v>
      </c>
      <c r="P22" s="225"/>
      <c r="Q22" s="225">
        <f>SUM(Q23:Q24)</f>
        <v>0</v>
      </c>
      <c r="R22" s="225"/>
      <c r="S22" s="225">
        <f>SUM(S23:S24)</f>
        <v>0</v>
      </c>
      <c r="T22" s="225"/>
      <c r="U22" s="225">
        <f>SUM(U23:U24)</f>
        <v>0</v>
      </c>
      <c r="V22" s="225"/>
      <c r="W22" s="405"/>
      <c r="X22" s="225">
        <f>SUM(X23:X24)</f>
        <v>0</v>
      </c>
    </row>
    <row r="23" spans="1:24" ht="15.75" hidden="1" customHeight="1">
      <c r="A23" s="129"/>
      <c r="B23" s="129" t="s">
        <v>483</v>
      </c>
      <c r="C23" s="320">
        <v>0</v>
      </c>
      <c r="D23" s="351"/>
      <c r="E23" s="351"/>
      <c r="F23" s="351"/>
      <c r="G23" s="311">
        <f t="shared" si="5"/>
        <v>0</v>
      </c>
      <c r="H23" s="211"/>
      <c r="I23" s="351"/>
      <c r="J23" s="211"/>
      <c r="K23" s="212">
        <v>0</v>
      </c>
      <c r="L23" s="212"/>
      <c r="M23" s="212">
        <v>0</v>
      </c>
      <c r="N23" s="212"/>
      <c r="O23" s="212">
        <v>0</v>
      </c>
      <c r="P23" s="212"/>
      <c r="Q23" s="212">
        <v>0</v>
      </c>
      <c r="R23" s="212"/>
      <c r="S23" s="212">
        <v>0</v>
      </c>
      <c r="T23" s="212"/>
      <c r="U23" s="212">
        <v>0</v>
      </c>
      <c r="V23" s="212"/>
      <c r="W23" s="393"/>
      <c r="X23" s="212">
        <v>0</v>
      </c>
    </row>
    <row r="24" spans="1:24" ht="15.75" hidden="1" customHeight="1">
      <c r="A24" s="129"/>
      <c r="B24" s="129" t="s">
        <v>484</v>
      </c>
      <c r="C24" s="320">
        <v>0</v>
      </c>
      <c r="D24" s="351"/>
      <c r="E24" s="351"/>
      <c r="F24" s="351"/>
      <c r="G24" s="311">
        <f t="shared" si="5"/>
        <v>0</v>
      </c>
      <c r="H24" s="211"/>
      <c r="I24" s="351"/>
      <c r="J24" s="211"/>
      <c r="K24" s="212">
        <v>0</v>
      </c>
      <c r="L24" s="212"/>
      <c r="M24" s="212">
        <v>0</v>
      </c>
      <c r="N24" s="212"/>
      <c r="O24" s="212">
        <v>0</v>
      </c>
      <c r="P24" s="212"/>
      <c r="Q24" s="212">
        <v>0</v>
      </c>
      <c r="R24" s="212"/>
      <c r="S24" s="212">
        <v>0</v>
      </c>
      <c r="T24" s="212"/>
      <c r="U24" s="212">
        <v>0</v>
      </c>
      <c r="V24" s="212"/>
      <c r="W24" s="393"/>
      <c r="X24" s="212">
        <v>0</v>
      </c>
    </row>
    <row r="25" spans="1:24" ht="15.75" customHeight="1">
      <c r="A25" s="128" t="s">
        <v>485</v>
      </c>
      <c r="B25" s="128"/>
      <c r="C25" s="384">
        <f t="shared" ref="C25:F25" si="8">C11+C15+C16</f>
        <v>312000</v>
      </c>
      <c r="D25" s="354">
        <f t="shared" si="8"/>
        <v>163127.12999999998</v>
      </c>
      <c r="E25" s="354">
        <f t="shared" si="8"/>
        <v>156000</v>
      </c>
      <c r="F25" s="354">
        <f t="shared" si="8"/>
        <v>320000</v>
      </c>
      <c r="G25" s="354">
        <f t="shared" si="5"/>
        <v>8000</v>
      </c>
      <c r="H25" s="219"/>
      <c r="I25" s="354"/>
      <c r="J25" s="219"/>
      <c r="K25" s="323">
        <f t="shared" ref="K25:V25" si="9">K11+K15+K16</f>
        <v>6556</v>
      </c>
      <c r="L25" s="323">
        <f t="shared" si="9"/>
        <v>39111</v>
      </c>
      <c r="M25" s="323">
        <f t="shared" si="9"/>
        <v>33778</v>
      </c>
      <c r="N25" s="323">
        <f t="shared" si="9"/>
        <v>32000</v>
      </c>
      <c r="O25" s="323">
        <f t="shared" si="9"/>
        <v>26666</v>
      </c>
      <c r="P25" s="323">
        <f t="shared" si="9"/>
        <v>26666</v>
      </c>
      <c r="Q25" s="323">
        <f t="shared" si="9"/>
        <v>32000</v>
      </c>
      <c r="R25" s="323">
        <f t="shared" si="9"/>
        <v>26666</v>
      </c>
      <c r="S25" s="323">
        <f t="shared" si="9"/>
        <v>35556</v>
      </c>
      <c r="T25" s="323">
        <f t="shared" si="9"/>
        <v>30223</v>
      </c>
      <c r="U25" s="323">
        <f t="shared" si="9"/>
        <v>30223</v>
      </c>
      <c r="V25" s="323">
        <f t="shared" si="9"/>
        <v>555</v>
      </c>
      <c r="W25" s="394"/>
      <c r="X25" s="323">
        <f>X11+X15+X16</f>
        <v>320000</v>
      </c>
    </row>
    <row r="26" spans="1:24" ht="15.75" customHeight="1">
      <c r="A26" s="129"/>
      <c r="B26" s="129"/>
      <c r="C26" s="292"/>
      <c r="D26" s="196"/>
      <c r="E26" s="196"/>
      <c r="F26" s="196"/>
      <c r="G26" s="196"/>
      <c r="H26" s="196"/>
      <c r="I26" s="196"/>
      <c r="J26" s="196"/>
      <c r="K26" s="196"/>
      <c r="L26" s="196"/>
      <c r="M26" s="196"/>
      <c r="N26" s="196"/>
      <c r="O26" s="196"/>
      <c r="P26" s="196"/>
      <c r="Q26" s="196"/>
      <c r="R26" s="196"/>
      <c r="S26" s="196"/>
      <c r="T26" s="196"/>
      <c r="U26" s="196"/>
      <c r="V26" s="196"/>
      <c r="W26" s="196"/>
      <c r="X26" s="196"/>
    </row>
    <row r="27" spans="1:24" ht="15.75" customHeight="1">
      <c r="A27" s="276" t="s">
        <v>291</v>
      </c>
      <c r="B27" s="129"/>
      <c r="C27" s="292"/>
      <c r="D27" s="501"/>
      <c r="E27" s="501"/>
      <c r="F27" s="501"/>
      <c r="G27" s="501"/>
      <c r="H27" s="501"/>
      <c r="I27" s="501"/>
      <c r="J27" s="501"/>
      <c r="K27" s="502">
        <f t="shared" ref="K27:V27" si="10">K8-K25</f>
        <v>2667</v>
      </c>
      <c r="L27" s="502">
        <f t="shared" si="10"/>
        <v>11611</v>
      </c>
      <c r="M27" s="502">
        <f t="shared" si="10"/>
        <v>10027</v>
      </c>
      <c r="N27" s="502">
        <f t="shared" si="10"/>
        <v>9500</v>
      </c>
      <c r="O27" s="502">
        <f t="shared" si="10"/>
        <v>7917</v>
      </c>
      <c r="P27" s="502">
        <f t="shared" si="10"/>
        <v>7917</v>
      </c>
      <c r="Q27" s="502">
        <f t="shared" si="10"/>
        <v>9500</v>
      </c>
      <c r="R27" s="502">
        <f t="shared" si="10"/>
        <v>7917</v>
      </c>
      <c r="S27" s="502">
        <f t="shared" si="10"/>
        <v>10555</v>
      </c>
      <c r="T27" s="502">
        <f t="shared" si="10"/>
        <v>8972</v>
      </c>
      <c r="U27" s="502">
        <f t="shared" si="10"/>
        <v>8972</v>
      </c>
      <c r="V27" s="502">
        <f t="shared" si="10"/>
        <v>-555</v>
      </c>
      <c r="W27" s="502"/>
      <c r="X27" s="502">
        <f>X8-X25</f>
        <v>95000</v>
      </c>
    </row>
    <row r="28" spans="1:24" ht="15.75" customHeight="1">
      <c r="A28" s="128"/>
      <c r="B28" s="129"/>
      <c r="C28" s="292"/>
      <c r="D28" s="129"/>
      <c r="E28" s="129"/>
      <c r="F28" s="129"/>
      <c r="G28" s="129"/>
      <c r="H28" s="129"/>
      <c r="I28" s="129"/>
      <c r="J28" s="129"/>
      <c r="K28" s="129"/>
      <c r="L28" s="129"/>
      <c r="M28" s="129"/>
      <c r="N28" s="129"/>
      <c r="O28" s="129"/>
      <c r="P28" s="129"/>
      <c r="Q28" s="129"/>
      <c r="R28" s="129"/>
      <c r="S28" s="129"/>
      <c r="T28" s="129"/>
      <c r="U28" s="129"/>
      <c r="V28" s="129"/>
      <c r="W28" s="129"/>
      <c r="X28" s="129"/>
    </row>
    <row r="29" spans="1:24" ht="15.75" customHeight="1">
      <c r="C29" s="328"/>
      <c r="D29" s="289"/>
      <c r="E29" s="289"/>
      <c r="F29" s="289"/>
      <c r="G29" s="289"/>
      <c r="H29" s="289"/>
      <c r="I29" s="289"/>
      <c r="J29" s="289"/>
      <c r="K29" s="289"/>
      <c r="L29" s="289"/>
      <c r="M29" s="289"/>
      <c r="N29" s="289"/>
      <c r="O29" s="289"/>
      <c r="P29" s="289"/>
      <c r="Q29" s="289"/>
      <c r="R29" s="289"/>
      <c r="S29" s="289"/>
      <c r="T29" s="289"/>
      <c r="U29" s="289"/>
      <c r="V29" s="289"/>
      <c r="W29" s="289"/>
      <c r="X29" s="289"/>
    </row>
    <row r="30" spans="1:24" ht="15.75" customHeight="1">
      <c r="C30" s="328"/>
      <c r="D30" s="289"/>
      <c r="E30" s="289"/>
      <c r="F30" s="289"/>
      <c r="G30" s="289"/>
      <c r="H30" s="289"/>
      <c r="I30" s="289"/>
      <c r="J30" s="289"/>
      <c r="K30" s="289"/>
      <c r="L30" s="289"/>
      <c r="M30" s="289"/>
      <c r="N30" s="289"/>
      <c r="O30" s="289"/>
      <c r="P30" s="289"/>
      <c r="Q30" s="289"/>
      <c r="R30" s="289"/>
      <c r="S30" s="289"/>
      <c r="T30" s="289"/>
      <c r="U30" s="289"/>
      <c r="V30" s="289"/>
      <c r="W30" s="289"/>
      <c r="X30" s="289"/>
    </row>
    <row r="31" spans="1:24" ht="15.75" customHeight="1">
      <c r="C31" s="328"/>
      <c r="D31" s="289"/>
      <c r="E31" s="289"/>
      <c r="F31" s="289"/>
      <c r="G31" s="289"/>
      <c r="H31" s="289"/>
      <c r="I31" s="289"/>
      <c r="J31" s="289"/>
      <c r="K31" s="289"/>
      <c r="L31" s="289"/>
      <c r="M31" s="289"/>
      <c r="N31" s="289"/>
      <c r="O31" s="289"/>
      <c r="P31" s="289"/>
      <c r="Q31" s="289"/>
      <c r="R31" s="289"/>
      <c r="S31" s="289"/>
      <c r="T31" s="289"/>
      <c r="U31" s="289"/>
      <c r="V31" s="289"/>
      <c r="W31" s="289"/>
      <c r="X31" s="289"/>
    </row>
    <row r="32" spans="1:24" ht="15.75" customHeight="1">
      <c r="C32" s="328"/>
      <c r="D32" s="289"/>
      <c r="E32" s="289"/>
      <c r="F32" s="289"/>
      <c r="G32" s="289"/>
      <c r="H32" s="289"/>
      <c r="I32" s="289"/>
      <c r="J32" s="289"/>
      <c r="K32" s="289"/>
      <c r="L32" s="289"/>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289"/>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289"/>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289"/>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3:24" ht="15.75" customHeight="1">
      <c r="C219" s="328"/>
      <c r="D219" s="289"/>
      <c r="E219" s="289"/>
      <c r="F219" s="289"/>
      <c r="G219" s="289"/>
      <c r="H219" s="289"/>
      <c r="I219" s="289"/>
      <c r="J219" s="289"/>
      <c r="K219" s="289"/>
      <c r="L219" s="289"/>
      <c r="M219" s="289"/>
      <c r="N219" s="289"/>
      <c r="O219" s="289"/>
      <c r="P219" s="289"/>
      <c r="Q219" s="289"/>
      <c r="R219" s="289"/>
      <c r="S219" s="289"/>
      <c r="T219" s="289"/>
      <c r="U219" s="289"/>
      <c r="V219" s="289"/>
      <c r="W219" s="289"/>
      <c r="X219" s="289"/>
    </row>
    <row r="220" spans="3:24" ht="15.75" customHeight="1">
      <c r="C220" s="328"/>
      <c r="D220" s="289"/>
      <c r="E220" s="289"/>
      <c r="F220" s="289"/>
      <c r="G220" s="289"/>
      <c r="H220" s="289"/>
      <c r="I220" s="289"/>
      <c r="J220" s="289"/>
      <c r="K220" s="289"/>
      <c r="L220" s="289"/>
      <c r="M220" s="289"/>
      <c r="N220" s="289"/>
      <c r="O220" s="289"/>
      <c r="P220" s="289"/>
      <c r="Q220" s="289"/>
      <c r="R220" s="289"/>
      <c r="S220" s="289"/>
      <c r="T220" s="289"/>
      <c r="U220" s="289"/>
      <c r="V220" s="289"/>
      <c r="W220" s="289"/>
      <c r="X220" s="289"/>
    </row>
    <row r="221" spans="3:24" ht="15.75" customHeight="1">
      <c r="C221" s="328"/>
      <c r="D221" s="289"/>
      <c r="E221" s="289"/>
      <c r="F221" s="289"/>
      <c r="G221" s="289"/>
      <c r="H221" s="289"/>
      <c r="I221" s="289"/>
      <c r="J221" s="289"/>
      <c r="K221" s="289"/>
      <c r="L221" s="289"/>
      <c r="M221" s="289"/>
      <c r="N221" s="289"/>
      <c r="O221" s="289"/>
      <c r="P221" s="289"/>
      <c r="Q221" s="289"/>
      <c r="R221" s="289"/>
      <c r="S221" s="289"/>
      <c r="T221" s="289"/>
      <c r="U221" s="289"/>
      <c r="V221" s="289"/>
      <c r="W221" s="289"/>
      <c r="X221" s="289"/>
    </row>
    <row r="222" spans="3:24" ht="15.75" customHeight="1">
      <c r="C222" s="328"/>
      <c r="D222" s="289"/>
      <c r="E222" s="289"/>
      <c r="F222" s="289"/>
      <c r="G222" s="289"/>
      <c r="H222" s="289"/>
      <c r="I222" s="289"/>
      <c r="J222" s="289"/>
      <c r="K222" s="289"/>
      <c r="L222" s="289"/>
      <c r="M222" s="289"/>
      <c r="N222" s="289"/>
      <c r="O222" s="289"/>
      <c r="P222" s="289"/>
      <c r="Q222" s="289"/>
      <c r="R222" s="289"/>
      <c r="S222" s="289"/>
      <c r="T222" s="289"/>
      <c r="U222" s="289"/>
      <c r="V222" s="289"/>
      <c r="W222" s="289"/>
      <c r="X222" s="289"/>
    </row>
    <row r="223" spans="3:24" ht="15.75" customHeight="1">
      <c r="C223" s="328"/>
      <c r="D223" s="289"/>
      <c r="E223" s="289"/>
      <c r="F223" s="289"/>
      <c r="G223" s="289"/>
      <c r="H223" s="289"/>
      <c r="I223" s="289"/>
      <c r="J223" s="289"/>
      <c r="K223" s="289"/>
      <c r="L223" s="289"/>
      <c r="M223" s="289"/>
      <c r="N223" s="289"/>
      <c r="O223" s="289"/>
      <c r="P223" s="289"/>
      <c r="Q223" s="289"/>
      <c r="R223" s="289"/>
      <c r="S223" s="289"/>
      <c r="T223" s="289"/>
      <c r="U223" s="289"/>
      <c r="V223" s="289"/>
      <c r="W223" s="289"/>
      <c r="X223" s="289"/>
    </row>
    <row r="224" spans="3:24" ht="15.75" customHeight="1">
      <c r="C224" s="328"/>
      <c r="D224" s="289"/>
      <c r="E224" s="289"/>
      <c r="F224" s="289"/>
      <c r="G224" s="289"/>
      <c r="H224" s="289"/>
      <c r="I224" s="289"/>
      <c r="J224" s="289"/>
      <c r="K224" s="289"/>
      <c r="L224" s="289"/>
      <c r="M224" s="289"/>
      <c r="N224" s="289"/>
      <c r="O224" s="289"/>
      <c r="P224" s="289"/>
      <c r="Q224" s="289"/>
      <c r="R224" s="289"/>
      <c r="S224" s="289"/>
      <c r="T224" s="289"/>
      <c r="U224" s="289"/>
      <c r="V224" s="289"/>
      <c r="W224" s="289"/>
      <c r="X224" s="289"/>
    </row>
    <row r="225" spans="3:24" ht="15.75" customHeight="1">
      <c r="C225" s="328"/>
      <c r="D225" s="289"/>
      <c r="E225" s="289"/>
      <c r="F225" s="289"/>
      <c r="G225" s="289"/>
      <c r="H225" s="289"/>
      <c r="I225" s="289"/>
      <c r="J225" s="289"/>
      <c r="K225" s="289"/>
      <c r="L225" s="289"/>
      <c r="M225" s="289"/>
      <c r="N225" s="289"/>
      <c r="O225" s="289"/>
      <c r="P225" s="289"/>
      <c r="Q225" s="289"/>
      <c r="R225" s="289"/>
      <c r="S225" s="289"/>
      <c r="T225" s="289"/>
      <c r="U225" s="289"/>
      <c r="V225" s="289"/>
      <c r="W225" s="289"/>
      <c r="X225" s="289"/>
    </row>
    <row r="226" spans="3:24" ht="15.75" customHeight="1">
      <c r="C226" s="328"/>
      <c r="D226" s="289"/>
      <c r="E226" s="289"/>
      <c r="F226" s="289"/>
      <c r="G226" s="289"/>
      <c r="H226" s="289"/>
      <c r="I226" s="289"/>
      <c r="J226" s="289"/>
      <c r="K226" s="289"/>
      <c r="L226" s="289"/>
      <c r="M226" s="289"/>
      <c r="N226" s="289"/>
      <c r="O226" s="289"/>
      <c r="P226" s="289"/>
      <c r="Q226" s="289"/>
      <c r="R226" s="289"/>
      <c r="S226" s="289"/>
      <c r="T226" s="289"/>
      <c r="U226" s="289"/>
      <c r="V226" s="289"/>
      <c r="W226" s="289"/>
      <c r="X226" s="289"/>
    </row>
    <row r="227" spans="3:24" ht="15.75" customHeight="1">
      <c r="C227" s="328"/>
      <c r="D227" s="289"/>
      <c r="E227" s="289"/>
      <c r="F227" s="289"/>
      <c r="G227" s="289"/>
      <c r="H227" s="289"/>
      <c r="I227" s="289"/>
      <c r="J227" s="289"/>
      <c r="K227" s="289"/>
      <c r="L227" s="289"/>
      <c r="M227" s="289"/>
      <c r="N227" s="289"/>
      <c r="O227" s="289"/>
      <c r="P227" s="289"/>
      <c r="Q227" s="289"/>
      <c r="R227" s="289"/>
      <c r="S227" s="289"/>
      <c r="T227" s="289"/>
      <c r="U227" s="289"/>
      <c r="V227" s="289"/>
      <c r="W227" s="289"/>
      <c r="X227" s="289"/>
    </row>
    <row r="228" spans="3:24" ht="15.75" customHeight="1"/>
    <row r="229" spans="3:24" ht="15.75" customHeight="1"/>
    <row r="230" spans="3:24" ht="15.75" customHeight="1"/>
    <row r="231" spans="3:24" ht="15.75" customHeight="1"/>
    <row r="232" spans="3:24" ht="15.75" customHeight="1"/>
    <row r="233" spans="3:24" ht="15.75" customHeight="1"/>
    <row r="234" spans="3:24" ht="15.75" customHeight="1"/>
    <row r="235" spans="3:24" ht="15.75" customHeight="1"/>
    <row r="236" spans="3:24" ht="15.75" customHeight="1"/>
    <row r="237" spans="3:24" ht="15.75" customHeight="1"/>
    <row r="238" spans="3:24" ht="15.75" customHeight="1"/>
    <row r="239" spans="3:24" ht="15.75" customHeight="1"/>
    <row r="240" spans="3: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I13:I14"/>
  </mergeCells>
  <pageMargins left="0.7" right="0.7" top="0.75" bottom="0.75" header="0" footer="0"/>
  <pageSetup orientation="landscape"/>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X998"/>
  <sheetViews>
    <sheetView workbookViewId="0"/>
  </sheetViews>
  <sheetFormatPr defaultColWidth="12.5703125" defaultRowHeight="15" customHeight="1"/>
  <cols>
    <col min="1" max="1" width="4" customWidth="1"/>
    <col min="2" max="2" width="24.7109375" customWidth="1"/>
    <col min="3" max="3" width="13.5703125" customWidth="1"/>
    <col min="4" max="4" width="13.7109375" customWidth="1"/>
    <col min="5" max="5" width="13.28515625" customWidth="1"/>
    <col min="6" max="6" width="11.28515625" customWidth="1"/>
    <col min="7" max="7" width="13.42578125" customWidth="1"/>
    <col min="8" max="8" width="2.42578125" customWidth="1"/>
    <col min="9" max="9" width="56.7109375" customWidth="1"/>
    <col min="10" max="10" width="2.425781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7109375" customWidth="1"/>
    <col min="24" max="24" width="11.42578125" customWidth="1"/>
  </cols>
  <sheetData>
    <row r="1" spans="1:24" ht="15.75" customHeight="1">
      <c r="A1" s="128" t="s">
        <v>122</v>
      </c>
      <c r="B1" s="129"/>
      <c r="C1" s="292"/>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486</v>
      </c>
      <c r="B2" s="129"/>
      <c r="C2" s="292"/>
      <c r="D2" s="129"/>
      <c r="E2" s="129"/>
      <c r="F2" s="129"/>
      <c r="G2" s="129"/>
      <c r="H2" s="129"/>
      <c r="I2" s="129"/>
      <c r="J2" s="129"/>
      <c r="K2" s="129"/>
      <c r="L2" s="129"/>
      <c r="M2" s="129"/>
      <c r="N2" s="129"/>
      <c r="O2" s="129"/>
      <c r="P2" s="129"/>
      <c r="Q2" s="129"/>
      <c r="R2" s="129"/>
      <c r="S2" s="129"/>
      <c r="T2" s="129"/>
      <c r="U2" s="129"/>
      <c r="V2" s="129"/>
      <c r="W2" s="129"/>
      <c r="X2" s="129"/>
    </row>
    <row r="3" spans="1:24" ht="15.75" customHeight="1">
      <c r="A3" s="293"/>
      <c r="B3" s="294"/>
      <c r="C3" s="292"/>
      <c r="D3" s="129"/>
      <c r="E3" s="129"/>
      <c r="F3" s="129"/>
      <c r="G3" s="129"/>
      <c r="H3" s="129"/>
      <c r="I3" s="129"/>
      <c r="J3" s="129"/>
      <c r="K3" s="129"/>
      <c r="L3" s="129"/>
      <c r="M3" s="129"/>
      <c r="N3" s="129"/>
      <c r="O3" s="129"/>
      <c r="P3" s="129"/>
      <c r="Q3" s="129"/>
      <c r="R3" s="135"/>
      <c r="S3" s="135"/>
      <c r="T3" s="129"/>
      <c r="U3" s="129"/>
      <c r="V3" s="129"/>
      <c r="W3" s="129"/>
      <c r="X3" s="129"/>
    </row>
    <row r="4" spans="1:24" ht="40.5"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128"/>
      <c r="B5" s="129" t="s">
        <v>151</v>
      </c>
      <c r="C5" s="335">
        <v>0</v>
      </c>
      <c r="D5" s="435"/>
      <c r="E5" s="435"/>
      <c r="F5" s="435"/>
      <c r="G5" s="435"/>
      <c r="H5" s="434"/>
      <c r="I5" s="435"/>
      <c r="J5" s="434"/>
      <c r="K5" s="503">
        <v>0</v>
      </c>
      <c r="L5" s="503">
        <v>0</v>
      </c>
      <c r="M5" s="503">
        <v>0</v>
      </c>
      <c r="N5" s="503">
        <v>0</v>
      </c>
      <c r="O5" s="503"/>
      <c r="P5" s="503"/>
      <c r="Q5" s="503"/>
      <c r="R5" s="503"/>
      <c r="S5" s="503"/>
      <c r="T5" s="503"/>
      <c r="U5" s="503"/>
      <c r="V5" s="503"/>
      <c r="W5" s="504"/>
      <c r="X5" s="503"/>
    </row>
    <row r="6" spans="1:24" ht="15.75" customHeight="1">
      <c r="A6" s="128" t="s">
        <v>153</v>
      </c>
      <c r="B6" s="128"/>
      <c r="C6" s="335">
        <v>0</v>
      </c>
      <c r="D6" s="435"/>
      <c r="E6" s="435"/>
      <c r="F6" s="435"/>
      <c r="G6" s="435"/>
      <c r="H6" s="434"/>
      <c r="I6" s="435"/>
      <c r="J6" s="434"/>
      <c r="K6" s="436">
        <v>0</v>
      </c>
      <c r="L6" s="436">
        <f>SUM(L5)</f>
        <v>0</v>
      </c>
      <c r="M6" s="436">
        <v>0</v>
      </c>
      <c r="N6" s="436">
        <v>0</v>
      </c>
      <c r="O6" s="436">
        <v>0</v>
      </c>
      <c r="P6" s="436">
        <v>0</v>
      </c>
      <c r="Q6" s="436">
        <v>0</v>
      </c>
      <c r="R6" s="436"/>
      <c r="S6" s="436">
        <v>0</v>
      </c>
      <c r="T6" s="436"/>
      <c r="U6" s="436">
        <v>0</v>
      </c>
      <c r="V6" s="436"/>
      <c r="W6" s="505"/>
      <c r="X6" s="436">
        <v>0</v>
      </c>
    </row>
    <row r="7" spans="1:24" ht="15.75" customHeight="1">
      <c r="A7" s="128"/>
      <c r="B7" s="129"/>
      <c r="C7" s="292"/>
      <c r="D7" s="135"/>
      <c r="E7" s="135"/>
      <c r="F7" s="135"/>
      <c r="G7" s="135"/>
      <c r="H7" s="135"/>
      <c r="I7" s="135"/>
      <c r="J7" s="135"/>
      <c r="K7" s="135"/>
      <c r="L7" s="135"/>
      <c r="M7" s="135"/>
      <c r="N7" s="135"/>
      <c r="O7" s="135"/>
      <c r="P7" s="135"/>
      <c r="Q7" s="135"/>
      <c r="R7" s="135"/>
      <c r="S7" s="135"/>
      <c r="T7" s="135"/>
      <c r="U7" s="135"/>
      <c r="V7" s="135"/>
      <c r="W7" s="135"/>
      <c r="X7" s="135"/>
    </row>
    <row r="8" spans="1:24" ht="40.5" customHeight="1">
      <c r="A8" s="128" t="s">
        <v>154</v>
      </c>
      <c r="B8" s="129"/>
      <c r="C8" s="137" t="s">
        <v>127</v>
      </c>
      <c r="D8" s="140" t="s">
        <v>128</v>
      </c>
      <c r="E8" s="140" t="s">
        <v>129</v>
      </c>
      <c r="F8" s="140" t="s">
        <v>130</v>
      </c>
      <c r="G8" s="140" t="s">
        <v>131</v>
      </c>
      <c r="H8" s="298"/>
      <c r="I8" s="299" t="s">
        <v>298</v>
      </c>
      <c r="J8" s="298"/>
      <c r="K8" s="466">
        <v>45474</v>
      </c>
      <c r="L8" s="466">
        <v>45505</v>
      </c>
      <c r="M8" s="466">
        <v>45536</v>
      </c>
      <c r="N8" s="466">
        <v>45566</v>
      </c>
      <c r="O8" s="466">
        <v>45597</v>
      </c>
      <c r="P8" s="466">
        <v>45627</v>
      </c>
      <c r="Q8" s="466">
        <v>45658</v>
      </c>
      <c r="R8" s="466">
        <v>45689</v>
      </c>
      <c r="S8" s="466">
        <v>45717</v>
      </c>
      <c r="T8" s="466">
        <v>45748</v>
      </c>
      <c r="U8" s="466">
        <v>45778</v>
      </c>
      <c r="V8" s="466">
        <v>45809</v>
      </c>
      <c r="W8" s="467"/>
      <c r="X8" s="202" t="s">
        <v>132</v>
      </c>
    </row>
    <row r="9" spans="1:24" ht="15.75" customHeight="1">
      <c r="A9" s="128"/>
      <c r="B9" s="12" t="s">
        <v>478</v>
      </c>
      <c r="C9" s="12"/>
      <c r="D9" s="314"/>
      <c r="E9" s="314"/>
      <c r="F9" s="314"/>
      <c r="G9" s="314"/>
      <c r="H9" s="219"/>
      <c r="I9" s="314"/>
      <c r="J9" s="219"/>
      <c r="K9" s="401"/>
      <c r="L9" s="401"/>
      <c r="M9" s="401"/>
      <c r="N9" s="401"/>
      <c r="O9" s="401"/>
      <c r="P9" s="401"/>
      <c r="Q9" s="401"/>
      <c r="R9" s="401"/>
      <c r="S9" s="401"/>
      <c r="T9" s="401"/>
      <c r="U9" s="401"/>
      <c r="V9" s="401"/>
      <c r="W9" s="402"/>
      <c r="X9" s="401"/>
    </row>
    <row r="10" spans="1:24" ht="15.75" customHeight="1">
      <c r="A10" s="129"/>
      <c r="B10" s="129" t="s">
        <v>217</v>
      </c>
      <c r="C10" s="320">
        <v>16500</v>
      </c>
      <c r="D10" s="67">
        <v>8190</v>
      </c>
      <c r="E10" s="67">
        <v>8370</v>
      </c>
      <c r="F10" s="67">
        <v>18924</v>
      </c>
      <c r="G10" s="67">
        <f t="shared" ref="G10:G35" si="0">F10-C10</f>
        <v>2424</v>
      </c>
      <c r="H10" s="317"/>
      <c r="I10" s="427" t="s">
        <v>487</v>
      </c>
      <c r="J10" s="317"/>
      <c r="K10" s="318">
        <v>1577</v>
      </c>
      <c r="L10" s="319">
        <v>1577</v>
      </c>
      <c r="M10" s="319">
        <v>1577</v>
      </c>
      <c r="N10" s="319">
        <v>1577</v>
      </c>
      <c r="O10" s="319">
        <v>1577</v>
      </c>
      <c r="P10" s="319">
        <v>1577</v>
      </c>
      <c r="Q10" s="319">
        <v>1577</v>
      </c>
      <c r="R10" s="319">
        <v>1577</v>
      </c>
      <c r="S10" s="319">
        <v>1577</v>
      </c>
      <c r="T10" s="319">
        <v>1577</v>
      </c>
      <c r="U10" s="319">
        <v>1577</v>
      </c>
      <c r="V10" s="319">
        <v>1577</v>
      </c>
      <c r="W10" s="406"/>
      <c r="X10" s="319">
        <f t="shared" ref="X10:X14" si="1">SUM(K10:V10)</f>
        <v>18924</v>
      </c>
    </row>
    <row r="11" spans="1:24" ht="15.75" customHeight="1">
      <c r="A11" s="129"/>
      <c r="B11" s="129" t="s">
        <v>218</v>
      </c>
      <c r="C11" s="320">
        <v>92000</v>
      </c>
      <c r="D11" s="67">
        <v>46024.74</v>
      </c>
      <c r="E11" s="67">
        <v>46200</v>
      </c>
      <c r="F11" s="67">
        <f>7671*12</f>
        <v>92052</v>
      </c>
      <c r="G11" s="67">
        <f t="shared" si="0"/>
        <v>52</v>
      </c>
      <c r="H11" s="317"/>
      <c r="I11" s="411"/>
      <c r="J11" s="317"/>
      <c r="K11" s="318">
        <f t="shared" ref="K11:V11" si="2">$F$11/12</f>
        <v>7671</v>
      </c>
      <c r="L11" s="318">
        <f t="shared" si="2"/>
        <v>7671</v>
      </c>
      <c r="M11" s="318">
        <f t="shared" si="2"/>
        <v>7671</v>
      </c>
      <c r="N11" s="318">
        <f t="shared" si="2"/>
        <v>7671</v>
      </c>
      <c r="O11" s="318">
        <f t="shared" si="2"/>
        <v>7671</v>
      </c>
      <c r="P11" s="318">
        <f t="shared" si="2"/>
        <v>7671</v>
      </c>
      <c r="Q11" s="318">
        <f t="shared" si="2"/>
        <v>7671</v>
      </c>
      <c r="R11" s="318">
        <f t="shared" si="2"/>
        <v>7671</v>
      </c>
      <c r="S11" s="318">
        <f t="shared" si="2"/>
        <v>7671</v>
      </c>
      <c r="T11" s="318">
        <f t="shared" si="2"/>
        <v>7671</v>
      </c>
      <c r="U11" s="318">
        <f t="shared" si="2"/>
        <v>7671</v>
      </c>
      <c r="V11" s="318">
        <f t="shared" si="2"/>
        <v>7671</v>
      </c>
      <c r="W11" s="406"/>
      <c r="X11" s="319">
        <f t="shared" si="1"/>
        <v>92052</v>
      </c>
    </row>
    <row r="12" spans="1:24" ht="15.75" customHeight="1">
      <c r="A12" s="129"/>
      <c r="B12" s="129" t="s">
        <v>219</v>
      </c>
      <c r="C12" s="320">
        <v>11500</v>
      </c>
      <c r="D12" s="67">
        <v>2793.5</v>
      </c>
      <c r="E12" s="67">
        <v>2443.5</v>
      </c>
      <c r="F12" s="67">
        <v>4884</v>
      </c>
      <c r="G12" s="67">
        <f t="shared" si="0"/>
        <v>-6616</v>
      </c>
      <c r="H12" s="317"/>
      <c r="I12" s="427" t="s">
        <v>488</v>
      </c>
      <c r="J12" s="317"/>
      <c r="K12" s="318">
        <f>$F$12/6</f>
        <v>814</v>
      </c>
      <c r="L12" s="318">
        <v>0</v>
      </c>
      <c r="M12" s="318">
        <f>$F$12/6</f>
        <v>814</v>
      </c>
      <c r="N12" s="318">
        <v>0</v>
      </c>
      <c r="O12" s="318">
        <f>$F$12/6</f>
        <v>814</v>
      </c>
      <c r="P12" s="318">
        <v>0</v>
      </c>
      <c r="Q12" s="318">
        <f>$F$12/6</f>
        <v>814</v>
      </c>
      <c r="R12" s="318">
        <v>0</v>
      </c>
      <c r="S12" s="318">
        <f>$F$12/6</f>
        <v>814</v>
      </c>
      <c r="T12" s="318">
        <v>0</v>
      </c>
      <c r="U12" s="318">
        <f>$F$12/6</f>
        <v>814</v>
      </c>
      <c r="V12" s="318">
        <v>0</v>
      </c>
      <c r="W12" s="406"/>
      <c r="X12" s="319">
        <f t="shared" si="1"/>
        <v>4884</v>
      </c>
    </row>
    <row r="13" spans="1:24" ht="15.75" customHeight="1">
      <c r="A13" s="129"/>
      <c r="B13" s="129" t="s">
        <v>220</v>
      </c>
      <c r="C13" s="320">
        <v>25000</v>
      </c>
      <c r="D13" s="67">
        <v>11776.51</v>
      </c>
      <c r="E13" s="67">
        <v>12000</v>
      </c>
      <c r="F13" s="67">
        <v>25000</v>
      </c>
      <c r="G13" s="67">
        <f t="shared" si="0"/>
        <v>0</v>
      </c>
      <c r="H13" s="317"/>
      <c r="I13" s="411"/>
      <c r="J13" s="317"/>
      <c r="K13" s="318">
        <f t="shared" ref="K13:V13" si="3">25000/12</f>
        <v>2083.3333333333335</v>
      </c>
      <c r="L13" s="318">
        <f t="shared" si="3"/>
        <v>2083.3333333333335</v>
      </c>
      <c r="M13" s="318">
        <f t="shared" si="3"/>
        <v>2083.3333333333335</v>
      </c>
      <c r="N13" s="318">
        <f t="shared" si="3"/>
        <v>2083.3333333333335</v>
      </c>
      <c r="O13" s="318">
        <f t="shared" si="3"/>
        <v>2083.3333333333335</v>
      </c>
      <c r="P13" s="318">
        <f t="shared" si="3"/>
        <v>2083.3333333333335</v>
      </c>
      <c r="Q13" s="318">
        <f t="shared" si="3"/>
        <v>2083.3333333333335</v>
      </c>
      <c r="R13" s="318">
        <f t="shared" si="3"/>
        <v>2083.3333333333335</v>
      </c>
      <c r="S13" s="318">
        <f t="shared" si="3"/>
        <v>2083.3333333333335</v>
      </c>
      <c r="T13" s="318">
        <f t="shared" si="3"/>
        <v>2083.3333333333335</v>
      </c>
      <c r="U13" s="318">
        <f t="shared" si="3"/>
        <v>2083.3333333333335</v>
      </c>
      <c r="V13" s="318">
        <f t="shared" si="3"/>
        <v>2083.3333333333335</v>
      </c>
      <c r="W13" s="406"/>
      <c r="X13" s="319">
        <f t="shared" si="1"/>
        <v>24999.999999999996</v>
      </c>
    </row>
    <row r="14" spans="1:24" ht="15.75" customHeight="1">
      <c r="A14" s="129"/>
      <c r="B14" s="129" t="s">
        <v>221</v>
      </c>
      <c r="C14" s="320">
        <v>125000</v>
      </c>
      <c r="D14" s="67">
        <v>86200</v>
      </c>
      <c r="E14" s="67">
        <v>85260</v>
      </c>
      <c r="F14" s="67">
        <f>179004-49004</f>
        <v>130000</v>
      </c>
      <c r="G14" s="67">
        <f t="shared" si="0"/>
        <v>5000</v>
      </c>
      <c r="H14" s="317"/>
      <c r="I14" s="427" t="s">
        <v>489</v>
      </c>
      <c r="J14" s="317"/>
      <c r="K14" s="318">
        <f t="shared" ref="K14:V14" si="4">$F$14/12</f>
        <v>10833.333333333334</v>
      </c>
      <c r="L14" s="318">
        <f t="shared" si="4"/>
        <v>10833.333333333334</v>
      </c>
      <c r="M14" s="318">
        <f t="shared" si="4"/>
        <v>10833.333333333334</v>
      </c>
      <c r="N14" s="318">
        <f t="shared" si="4"/>
        <v>10833.333333333334</v>
      </c>
      <c r="O14" s="318">
        <f t="shared" si="4"/>
        <v>10833.333333333334</v>
      </c>
      <c r="P14" s="318">
        <f t="shared" si="4"/>
        <v>10833.333333333334</v>
      </c>
      <c r="Q14" s="318">
        <f t="shared" si="4"/>
        <v>10833.333333333334</v>
      </c>
      <c r="R14" s="318">
        <f t="shared" si="4"/>
        <v>10833.333333333334</v>
      </c>
      <c r="S14" s="318">
        <f t="shared" si="4"/>
        <v>10833.333333333334</v>
      </c>
      <c r="T14" s="318">
        <f t="shared" si="4"/>
        <v>10833.333333333334</v>
      </c>
      <c r="U14" s="318">
        <f t="shared" si="4"/>
        <v>10833.333333333334</v>
      </c>
      <c r="V14" s="318">
        <f t="shared" si="4"/>
        <v>10833.333333333334</v>
      </c>
      <c r="W14" s="406"/>
      <c r="X14" s="319">
        <f t="shared" si="1"/>
        <v>129999.99999999999</v>
      </c>
    </row>
    <row r="15" spans="1:24" ht="15.75" customHeight="1">
      <c r="A15" s="128"/>
      <c r="B15" s="129" t="s">
        <v>222</v>
      </c>
      <c r="C15" s="384">
        <f t="shared" ref="C15:F15" si="5">SUM(C16:C19)</f>
        <v>141226</v>
      </c>
      <c r="D15" s="311">
        <f t="shared" si="5"/>
        <v>88855.690000000017</v>
      </c>
      <c r="E15" s="311">
        <f t="shared" si="5"/>
        <v>91640</v>
      </c>
      <c r="F15" s="311">
        <f t="shared" si="5"/>
        <v>185556</v>
      </c>
      <c r="G15" s="311">
        <f t="shared" si="0"/>
        <v>44330</v>
      </c>
      <c r="H15" s="219"/>
      <c r="I15" s="411"/>
      <c r="J15" s="219"/>
      <c r="K15" s="225">
        <f t="shared" ref="K15:V15" si="6">SUM(K16:K19)</f>
        <v>19563</v>
      </c>
      <c r="L15" s="225">
        <f t="shared" si="6"/>
        <v>14963</v>
      </c>
      <c r="M15" s="225">
        <f t="shared" si="6"/>
        <v>14963</v>
      </c>
      <c r="N15" s="225">
        <f t="shared" si="6"/>
        <v>14963</v>
      </c>
      <c r="O15" s="225">
        <f t="shared" si="6"/>
        <v>14963</v>
      </c>
      <c r="P15" s="225">
        <f t="shared" si="6"/>
        <v>14963</v>
      </c>
      <c r="Q15" s="225">
        <f t="shared" si="6"/>
        <v>16363</v>
      </c>
      <c r="R15" s="225">
        <f t="shared" si="6"/>
        <v>14963</v>
      </c>
      <c r="S15" s="225">
        <f t="shared" si="6"/>
        <v>14963</v>
      </c>
      <c r="T15" s="225">
        <f t="shared" si="6"/>
        <v>14963</v>
      </c>
      <c r="U15" s="225">
        <f t="shared" si="6"/>
        <v>14963</v>
      </c>
      <c r="V15" s="225">
        <f t="shared" si="6"/>
        <v>14963</v>
      </c>
      <c r="W15" s="405"/>
      <c r="X15" s="225">
        <f>SUM(X16:X19)</f>
        <v>185556</v>
      </c>
    </row>
    <row r="16" spans="1:24" ht="15.75" customHeight="1">
      <c r="A16" s="129"/>
      <c r="B16" s="129" t="s">
        <v>223</v>
      </c>
      <c r="C16" s="320">
        <v>111426</v>
      </c>
      <c r="D16" s="67">
        <v>69151.070000000007</v>
      </c>
      <c r="E16" s="67">
        <v>74000</v>
      </c>
      <c r="F16" s="67">
        <v>144996</v>
      </c>
      <c r="G16" s="67">
        <f t="shared" si="0"/>
        <v>33570</v>
      </c>
      <c r="H16" s="317"/>
      <c r="I16" s="427" t="s">
        <v>490</v>
      </c>
      <c r="J16" s="317"/>
      <c r="K16" s="318">
        <v>12083</v>
      </c>
      <c r="L16" s="319">
        <v>12083</v>
      </c>
      <c r="M16" s="319">
        <v>12083</v>
      </c>
      <c r="N16" s="319">
        <v>12083</v>
      </c>
      <c r="O16" s="319">
        <v>12083</v>
      </c>
      <c r="P16" s="319">
        <v>12083</v>
      </c>
      <c r="Q16" s="319">
        <v>12083</v>
      </c>
      <c r="R16" s="319">
        <v>12083</v>
      </c>
      <c r="S16" s="319">
        <v>12083</v>
      </c>
      <c r="T16" s="319">
        <v>12083</v>
      </c>
      <c r="U16" s="319">
        <v>12083</v>
      </c>
      <c r="V16" s="319">
        <v>12083</v>
      </c>
      <c r="W16" s="406"/>
      <c r="X16" s="319">
        <f t="shared" ref="X16:X22" si="7">SUM(K16:V16)</f>
        <v>144996</v>
      </c>
    </row>
    <row r="17" spans="1:24" ht="15.75" customHeight="1">
      <c r="A17" s="129"/>
      <c r="B17" s="129" t="s">
        <v>224</v>
      </c>
      <c r="C17" s="320">
        <v>10800</v>
      </c>
      <c r="D17" s="67">
        <v>3815.2400000000002</v>
      </c>
      <c r="E17" s="67">
        <v>1200</v>
      </c>
      <c r="F17" s="67">
        <v>6000</v>
      </c>
      <c r="G17" s="67">
        <f t="shared" si="0"/>
        <v>-4800</v>
      </c>
      <c r="H17" s="317"/>
      <c r="I17" s="427" t="s">
        <v>491</v>
      </c>
      <c r="J17" s="317"/>
      <c r="K17" s="318">
        <v>4600</v>
      </c>
      <c r="L17" s="382"/>
      <c r="M17" s="382"/>
      <c r="N17" s="382"/>
      <c r="O17" s="382"/>
      <c r="P17" s="382"/>
      <c r="Q17" s="319">
        <v>1400</v>
      </c>
      <c r="R17" s="382"/>
      <c r="S17" s="382"/>
      <c r="T17" s="382"/>
      <c r="U17" s="382"/>
      <c r="V17" s="382"/>
      <c r="W17" s="468"/>
      <c r="X17" s="319">
        <f t="shared" si="7"/>
        <v>6000</v>
      </c>
    </row>
    <row r="18" spans="1:24" ht="15.75" customHeight="1">
      <c r="A18" s="129"/>
      <c r="B18" s="129" t="s">
        <v>492</v>
      </c>
      <c r="C18" s="320">
        <v>9000</v>
      </c>
      <c r="D18" s="67">
        <v>4500</v>
      </c>
      <c r="E18" s="67">
        <v>4500</v>
      </c>
      <c r="F18" s="67">
        <v>9000</v>
      </c>
      <c r="G18" s="67">
        <f t="shared" si="0"/>
        <v>0</v>
      </c>
      <c r="H18" s="317"/>
      <c r="I18" s="411"/>
      <c r="J18" s="317"/>
      <c r="K18" s="318">
        <v>750</v>
      </c>
      <c r="L18" s="319">
        <v>750</v>
      </c>
      <c r="M18" s="319">
        <v>750</v>
      </c>
      <c r="N18" s="319">
        <v>750</v>
      </c>
      <c r="O18" s="319">
        <v>750</v>
      </c>
      <c r="P18" s="319">
        <v>750</v>
      </c>
      <c r="Q18" s="319">
        <v>750</v>
      </c>
      <c r="R18" s="319">
        <v>750</v>
      </c>
      <c r="S18" s="319">
        <v>750</v>
      </c>
      <c r="T18" s="319">
        <v>750</v>
      </c>
      <c r="U18" s="319">
        <v>750</v>
      </c>
      <c r="V18" s="319">
        <v>750</v>
      </c>
      <c r="W18" s="406"/>
      <c r="X18" s="319">
        <f t="shared" si="7"/>
        <v>9000</v>
      </c>
    </row>
    <row r="19" spans="1:24" ht="15.75" customHeight="1">
      <c r="A19" s="129"/>
      <c r="B19" s="129" t="s">
        <v>493</v>
      </c>
      <c r="C19" s="320">
        <v>10000</v>
      </c>
      <c r="D19" s="67">
        <v>11389.380000000001</v>
      </c>
      <c r="E19" s="67">
        <v>11940</v>
      </c>
      <c r="F19" s="67">
        <v>25560</v>
      </c>
      <c r="G19" s="67">
        <f t="shared" si="0"/>
        <v>15560</v>
      </c>
      <c r="H19" s="317"/>
      <c r="I19" s="427" t="s">
        <v>494</v>
      </c>
      <c r="J19" s="317"/>
      <c r="K19" s="318">
        <v>2130</v>
      </c>
      <c r="L19" s="319">
        <v>2130</v>
      </c>
      <c r="M19" s="319">
        <v>2130</v>
      </c>
      <c r="N19" s="319">
        <v>2130</v>
      </c>
      <c r="O19" s="319">
        <v>2130</v>
      </c>
      <c r="P19" s="319">
        <v>2130</v>
      </c>
      <c r="Q19" s="319">
        <v>2130</v>
      </c>
      <c r="R19" s="319">
        <v>2130</v>
      </c>
      <c r="S19" s="319">
        <v>2130</v>
      </c>
      <c r="T19" s="319">
        <v>2130</v>
      </c>
      <c r="U19" s="319">
        <v>2130</v>
      </c>
      <c r="V19" s="319">
        <v>2130</v>
      </c>
      <c r="W19" s="406"/>
      <c r="X19" s="319">
        <f t="shared" si="7"/>
        <v>25560</v>
      </c>
    </row>
    <row r="20" spans="1:24" ht="15.75" customHeight="1">
      <c r="A20" s="129"/>
      <c r="B20" s="129" t="s">
        <v>495</v>
      </c>
      <c r="C20" s="320">
        <v>0</v>
      </c>
      <c r="D20" s="67">
        <v>4624.51</v>
      </c>
      <c r="E20" s="67">
        <v>0</v>
      </c>
      <c r="F20" s="67">
        <v>5000</v>
      </c>
      <c r="G20" s="67">
        <f t="shared" si="0"/>
        <v>5000</v>
      </c>
      <c r="H20" s="317"/>
      <c r="I20" s="427" t="s">
        <v>496</v>
      </c>
      <c r="J20" s="317"/>
      <c r="K20" s="318">
        <v>5000</v>
      </c>
      <c r="L20" s="382"/>
      <c r="M20" s="382"/>
      <c r="N20" s="382"/>
      <c r="O20" s="382"/>
      <c r="P20" s="382"/>
      <c r="Q20" s="382"/>
      <c r="R20" s="382"/>
      <c r="S20" s="382"/>
      <c r="T20" s="382"/>
      <c r="U20" s="382"/>
      <c r="V20" s="382"/>
      <c r="W20" s="406"/>
      <c r="X20" s="319">
        <f t="shared" si="7"/>
        <v>5000</v>
      </c>
    </row>
    <row r="21" spans="1:24" ht="24" customHeight="1">
      <c r="A21" s="129"/>
      <c r="B21" s="129" t="s">
        <v>228</v>
      </c>
      <c r="C21" s="320">
        <v>16000</v>
      </c>
      <c r="D21" s="67">
        <v>19096.350000000002</v>
      </c>
      <c r="E21" s="67">
        <v>8495</v>
      </c>
      <c r="F21" s="67">
        <v>30400</v>
      </c>
      <c r="G21" s="67">
        <f t="shared" si="0"/>
        <v>14400</v>
      </c>
      <c r="H21" s="317"/>
      <c r="I21" s="427" t="s">
        <v>497</v>
      </c>
      <c r="J21" s="317"/>
      <c r="K21" s="318">
        <f t="shared" ref="K21:V21" si="8">30400/12</f>
        <v>2533.3333333333335</v>
      </c>
      <c r="L21" s="318">
        <f t="shared" si="8"/>
        <v>2533.3333333333335</v>
      </c>
      <c r="M21" s="318">
        <f t="shared" si="8"/>
        <v>2533.3333333333335</v>
      </c>
      <c r="N21" s="318">
        <f t="shared" si="8"/>
        <v>2533.3333333333335</v>
      </c>
      <c r="O21" s="318">
        <f t="shared" si="8"/>
        <v>2533.3333333333335</v>
      </c>
      <c r="P21" s="318">
        <f t="shared" si="8"/>
        <v>2533.3333333333335</v>
      </c>
      <c r="Q21" s="318">
        <f t="shared" si="8"/>
        <v>2533.3333333333335</v>
      </c>
      <c r="R21" s="318">
        <f t="shared" si="8"/>
        <v>2533.3333333333335</v>
      </c>
      <c r="S21" s="318">
        <f t="shared" si="8"/>
        <v>2533.3333333333335</v>
      </c>
      <c r="T21" s="318">
        <f t="shared" si="8"/>
        <v>2533.3333333333335</v>
      </c>
      <c r="U21" s="318">
        <f t="shared" si="8"/>
        <v>2533.3333333333335</v>
      </c>
      <c r="V21" s="318">
        <f t="shared" si="8"/>
        <v>2533.3333333333335</v>
      </c>
      <c r="W21" s="406"/>
      <c r="X21" s="319">
        <f t="shared" si="7"/>
        <v>30399.999999999996</v>
      </c>
    </row>
    <row r="22" spans="1:24" ht="28.5" customHeight="1">
      <c r="A22" s="207"/>
      <c r="B22" s="243" t="s">
        <v>229</v>
      </c>
      <c r="C22" s="208">
        <v>0</v>
      </c>
      <c r="D22" s="351">
        <v>130349</v>
      </c>
      <c r="E22" s="67">
        <v>0</v>
      </c>
      <c r="F22" s="67">
        <f>300000-300000</f>
        <v>0</v>
      </c>
      <c r="G22" s="67">
        <f t="shared" si="0"/>
        <v>0</v>
      </c>
      <c r="H22" s="211"/>
      <c r="I22" s="427" t="s">
        <v>498</v>
      </c>
      <c r="J22" s="211"/>
      <c r="K22" s="318">
        <v>0</v>
      </c>
      <c r="L22" s="382"/>
      <c r="M22" s="382"/>
      <c r="N22" s="382"/>
      <c r="O22" s="382"/>
      <c r="P22" s="382"/>
      <c r="Q22" s="382"/>
      <c r="R22" s="382"/>
      <c r="S22" s="382"/>
      <c r="T22" s="382"/>
      <c r="U22" s="382"/>
      <c r="V22" s="382"/>
      <c r="W22" s="506"/>
      <c r="X22" s="319">
        <f t="shared" si="7"/>
        <v>0</v>
      </c>
    </row>
    <row r="23" spans="1:24" ht="15.75" customHeight="1">
      <c r="A23" s="129"/>
      <c r="B23" s="129" t="s">
        <v>230</v>
      </c>
      <c r="C23" s="384">
        <f t="shared" ref="C23:F23" si="9">SUM(C24:C33)</f>
        <v>285500</v>
      </c>
      <c r="D23" s="311">
        <f t="shared" si="9"/>
        <v>137752.82</v>
      </c>
      <c r="E23" s="311">
        <f t="shared" si="9"/>
        <v>43834</v>
      </c>
      <c r="F23" s="311">
        <f t="shared" si="9"/>
        <v>167940</v>
      </c>
      <c r="G23" s="311">
        <f t="shared" si="0"/>
        <v>-117560</v>
      </c>
      <c r="H23" s="211"/>
      <c r="I23" s="411"/>
      <c r="J23" s="211"/>
      <c r="K23" s="225">
        <f t="shared" ref="K23:V23" si="10">SUM(K24:K33)</f>
        <v>110725.33333333333</v>
      </c>
      <c r="L23" s="225">
        <f t="shared" si="10"/>
        <v>3333.3333333333335</v>
      </c>
      <c r="M23" s="225">
        <f t="shared" si="10"/>
        <v>4698.3333333333339</v>
      </c>
      <c r="N23" s="225">
        <f t="shared" si="10"/>
        <v>3333.3333333333335</v>
      </c>
      <c r="O23" s="225">
        <f t="shared" si="10"/>
        <v>4573.3333333333339</v>
      </c>
      <c r="P23" s="225">
        <f t="shared" si="10"/>
        <v>8458.3333333333339</v>
      </c>
      <c r="Q23" s="225">
        <f t="shared" si="10"/>
        <v>5193.3333333333339</v>
      </c>
      <c r="R23" s="225">
        <f t="shared" si="10"/>
        <v>3333.3333333333335</v>
      </c>
      <c r="S23" s="225">
        <f t="shared" si="10"/>
        <v>7926.3333333333339</v>
      </c>
      <c r="T23" s="225">
        <f t="shared" si="10"/>
        <v>3333.3333333333335</v>
      </c>
      <c r="U23" s="225">
        <f t="shared" si="10"/>
        <v>4573.3333333333339</v>
      </c>
      <c r="V23" s="225">
        <f t="shared" si="10"/>
        <v>8458.3333333333339</v>
      </c>
      <c r="W23" s="405"/>
      <c r="X23" s="225">
        <f>SUM(X24:X33)</f>
        <v>167940</v>
      </c>
    </row>
    <row r="24" spans="1:24" ht="15.75" customHeight="1">
      <c r="A24" s="129"/>
      <c r="B24" s="129" t="s">
        <v>499</v>
      </c>
      <c r="C24" s="320">
        <f>30000+50000</f>
        <v>80000</v>
      </c>
      <c r="D24" s="67">
        <v>93957.3</v>
      </c>
      <c r="E24" s="67">
        <v>0</v>
      </c>
      <c r="F24" s="67">
        <v>95000</v>
      </c>
      <c r="G24" s="67">
        <f t="shared" si="0"/>
        <v>15000</v>
      </c>
      <c r="H24" s="317"/>
      <c r="I24" s="427" t="s">
        <v>500</v>
      </c>
      <c r="J24" s="317"/>
      <c r="K24" s="318">
        <v>95000</v>
      </c>
      <c r="L24" s="382"/>
      <c r="M24" s="382"/>
      <c r="N24" s="382"/>
      <c r="O24" s="382"/>
      <c r="P24" s="382"/>
      <c r="Q24" s="382"/>
      <c r="R24" s="382"/>
      <c r="S24" s="382"/>
      <c r="T24" s="382"/>
      <c r="U24" s="382"/>
      <c r="V24" s="382"/>
      <c r="W24" s="406"/>
      <c r="X24" s="319">
        <f t="shared" ref="X24:X35" si="11">SUM(K24:V24)</f>
        <v>95000</v>
      </c>
    </row>
    <row r="25" spans="1:24" ht="15.75" customHeight="1">
      <c r="A25" s="129"/>
      <c r="B25" s="129" t="s">
        <v>232</v>
      </c>
      <c r="C25" s="320">
        <v>2500</v>
      </c>
      <c r="D25" s="67">
        <v>5704.88</v>
      </c>
      <c r="E25" s="67">
        <v>250</v>
      </c>
      <c r="F25" s="67">
        <v>500</v>
      </c>
      <c r="G25" s="67">
        <f t="shared" si="0"/>
        <v>-2000</v>
      </c>
      <c r="H25" s="317"/>
      <c r="I25" s="427" t="s">
        <v>501</v>
      </c>
      <c r="J25" s="317"/>
      <c r="K25" s="362"/>
      <c r="L25" s="382"/>
      <c r="M25" s="319">
        <v>125</v>
      </c>
      <c r="N25" s="382"/>
      <c r="O25" s="382"/>
      <c r="P25" s="319">
        <v>125</v>
      </c>
      <c r="Q25" s="382"/>
      <c r="R25" s="382"/>
      <c r="S25" s="319">
        <v>125</v>
      </c>
      <c r="T25" s="382"/>
      <c r="U25" s="382"/>
      <c r="V25" s="319">
        <v>125</v>
      </c>
      <c r="W25" s="406"/>
      <c r="X25" s="319">
        <f t="shared" si="11"/>
        <v>500</v>
      </c>
    </row>
    <row r="26" spans="1:24" ht="15.75" customHeight="1">
      <c r="A26" s="129"/>
      <c r="B26" s="129" t="s">
        <v>233</v>
      </c>
      <c r="C26" s="320">
        <f>5000+3000</f>
        <v>8000</v>
      </c>
      <c r="D26" s="67">
        <v>10053.36</v>
      </c>
      <c r="E26" s="67">
        <v>3084</v>
      </c>
      <c r="F26" s="67">
        <v>7440</v>
      </c>
      <c r="G26" s="67">
        <f t="shared" si="0"/>
        <v>-560</v>
      </c>
      <c r="H26" s="317"/>
      <c r="I26" s="427" t="s">
        <v>502</v>
      </c>
      <c r="J26" s="317"/>
      <c r="K26" s="318">
        <v>1240</v>
      </c>
      <c r="L26" s="382"/>
      <c r="M26" s="319">
        <v>1240</v>
      </c>
      <c r="N26" s="382"/>
      <c r="O26" s="319">
        <v>1240</v>
      </c>
      <c r="P26" s="382"/>
      <c r="Q26" s="319">
        <v>1240</v>
      </c>
      <c r="R26" s="382"/>
      <c r="S26" s="319">
        <v>1240</v>
      </c>
      <c r="T26" s="382"/>
      <c r="U26" s="319">
        <v>1240</v>
      </c>
      <c r="V26" s="382"/>
      <c r="W26" s="406"/>
      <c r="X26" s="319">
        <f t="shared" si="11"/>
        <v>7440</v>
      </c>
    </row>
    <row r="27" spans="1:24" ht="15.75" customHeight="1">
      <c r="A27" s="129"/>
      <c r="B27" s="129" t="s">
        <v>234</v>
      </c>
      <c r="C27" s="320">
        <v>10000</v>
      </c>
      <c r="D27" s="67">
        <v>1769.83</v>
      </c>
      <c r="E27" s="67">
        <v>0</v>
      </c>
      <c r="F27" s="67">
        <v>10000</v>
      </c>
      <c r="G27" s="67">
        <f t="shared" si="0"/>
        <v>0</v>
      </c>
      <c r="H27" s="317"/>
      <c r="I27" s="427" t="s">
        <v>503</v>
      </c>
      <c r="J27" s="317"/>
      <c r="K27" s="373">
        <f t="shared" ref="K27:V27" si="12">10000/12</f>
        <v>833.33333333333337</v>
      </c>
      <c r="L27" s="373">
        <f t="shared" si="12"/>
        <v>833.33333333333337</v>
      </c>
      <c r="M27" s="373">
        <f t="shared" si="12"/>
        <v>833.33333333333337</v>
      </c>
      <c r="N27" s="373">
        <f t="shared" si="12"/>
        <v>833.33333333333337</v>
      </c>
      <c r="O27" s="373">
        <f t="shared" si="12"/>
        <v>833.33333333333337</v>
      </c>
      <c r="P27" s="373">
        <f t="shared" si="12"/>
        <v>833.33333333333337</v>
      </c>
      <c r="Q27" s="373">
        <f t="shared" si="12"/>
        <v>833.33333333333337</v>
      </c>
      <c r="R27" s="373">
        <f t="shared" si="12"/>
        <v>833.33333333333337</v>
      </c>
      <c r="S27" s="373">
        <f t="shared" si="12"/>
        <v>833.33333333333337</v>
      </c>
      <c r="T27" s="373">
        <f t="shared" si="12"/>
        <v>833.33333333333337</v>
      </c>
      <c r="U27" s="373">
        <f t="shared" si="12"/>
        <v>833.33333333333337</v>
      </c>
      <c r="V27" s="373">
        <f t="shared" si="12"/>
        <v>833.33333333333337</v>
      </c>
      <c r="W27" s="406"/>
      <c r="X27" s="319">
        <f t="shared" si="11"/>
        <v>10000</v>
      </c>
    </row>
    <row r="28" spans="1:24" ht="15.75" customHeight="1">
      <c r="A28" s="129"/>
      <c r="B28" s="129" t="s">
        <v>236</v>
      </c>
      <c r="C28" s="320">
        <v>10000</v>
      </c>
      <c r="D28" s="67">
        <v>933.79</v>
      </c>
      <c r="E28" s="67">
        <v>0</v>
      </c>
      <c r="F28" s="67">
        <v>10000</v>
      </c>
      <c r="G28" s="67">
        <f t="shared" si="0"/>
        <v>0</v>
      </c>
      <c r="H28" s="317"/>
      <c r="I28" s="427" t="s">
        <v>503</v>
      </c>
      <c r="J28" s="317"/>
      <c r="K28" s="373">
        <f t="shared" ref="K28:V28" si="13">10000/12</f>
        <v>833.33333333333337</v>
      </c>
      <c r="L28" s="373">
        <f t="shared" si="13"/>
        <v>833.33333333333337</v>
      </c>
      <c r="M28" s="373">
        <f t="shared" si="13"/>
        <v>833.33333333333337</v>
      </c>
      <c r="N28" s="373">
        <f t="shared" si="13"/>
        <v>833.33333333333337</v>
      </c>
      <c r="O28" s="373">
        <f t="shared" si="13"/>
        <v>833.33333333333337</v>
      </c>
      <c r="P28" s="373">
        <f t="shared" si="13"/>
        <v>833.33333333333337</v>
      </c>
      <c r="Q28" s="373">
        <f t="shared" si="13"/>
        <v>833.33333333333337</v>
      </c>
      <c r="R28" s="373">
        <f t="shared" si="13"/>
        <v>833.33333333333337</v>
      </c>
      <c r="S28" s="373">
        <f t="shared" si="13"/>
        <v>833.33333333333337</v>
      </c>
      <c r="T28" s="373">
        <f t="shared" si="13"/>
        <v>833.33333333333337</v>
      </c>
      <c r="U28" s="373">
        <f t="shared" si="13"/>
        <v>833.33333333333337</v>
      </c>
      <c r="V28" s="373">
        <f t="shared" si="13"/>
        <v>833.33333333333337</v>
      </c>
      <c r="W28" s="406"/>
      <c r="X28" s="319">
        <f t="shared" si="11"/>
        <v>10000</v>
      </c>
    </row>
    <row r="29" spans="1:24" ht="15.75" customHeight="1">
      <c r="A29" s="129"/>
      <c r="B29" s="129" t="s">
        <v>237</v>
      </c>
      <c r="C29" s="320">
        <f>15000+125000</f>
        <v>140000</v>
      </c>
      <c r="D29" s="67">
        <v>5637.95</v>
      </c>
      <c r="E29" s="67">
        <v>25000</v>
      </c>
      <c r="F29" s="67">
        <f>140000-125000</f>
        <v>15000</v>
      </c>
      <c r="G29" s="67">
        <f t="shared" si="0"/>
        <v>-125000</v>
      </c>
      <c r="H29" s="317"/>
      <c r="I29" s="427" t="s">
        <v>504</v>
      </c>
      <c r="J29" s="317"/>
      <c r="K29" s="318">
        <v>5000</v>
      </c>
      <c r="L29" s="382"/>
      <c r="M29" s="382"/>
      <c r="N29" s="382"/>
      <c r="O29" s="382"/>
      <c r="P29" s="376">
        <v>5000</v>
      </c>
      <c r="Q29" s="382"/>
      <c r="R29" s="382"/>
      <c r="S29" s="382"/>
      <c r="T29" s="382"/>
      <c r="U29" s="382"/>
      <c r="V29" s="319">
        <v>5000</v>
      </c>
      <c r="W29" s="406"/>
      <c r="X29" s="319">
        <f t="shared" si="11"/>
        <v>15000</v>
      </c>
    </row>
    <row r="30" spans="1:24" ht="15.75" customHeight="1">
      <c r="A30" s="129"/>
      <c r="B30" s="129" t="s">
        <v>238</v>
      </c>
      <c r="C30" s="320">
        <f>50000+30000-50000</f>
        <v>30000</v>
      </c>
      <c r="D30" s="67">
        <v>40</v>
      </c>
      <c r="E30" s="67">
        <v>0</v>
      </c>
      <c r="F30" s="67">
        <v>0</v>
      </c>
      <c r="G30" s="67">
        <f t="shared" si="0"/>
        <v>-30000</v>
      </c>
      <c r="H30" s="317"/>
      <c r="I30" s="411"/>
      <c r="J30" s="317"/>
      <c r="K30" s="362"/>
      <c r="L30" s="382"/>
      <c r="M30" s="382"/>
      <c r="N30" s="382"/>
      <c r="O30" s="382"/>
      <c r="P30" s="382"/>
      <c r="Q30" s="382"/>
      <c r="R30" s="382"/>
      <c r="S30" s="382"/>
      <c r="T30" s="382"/>
      <c r="U30" s="382"/>
      <c r="V30" s="382"/>
      <c r="W30" s="406"/>
      <c r="X30" s="319">
        <f t="shared" si="11"/>
        <v>0</v>
      </c>
    </row>
    <row r="31" spans="1:24" ht="15.75" customHeight="1">
      <c r="A31" s="129"/>
      <c r="B31" s="129" t="s">
        <v>239</v>
      </c>
      <c r="C31" s="320">
        <v>0</v>
      </c>
      <c r="D31" s="67">
        <v>314.86</v>
      </c>
      <c r="E31" s="67">
        <v>0</v>
      </c>
      <c r="F31" s="67">
        <v>0</v>
      </c>
      <c r="G31" s="67">
        <f t="shared" si="0"/>
        <v>0</v>
      </c>
      <c r="H31" s="317"/>
      <c r="I31" s="411"/>
      <c r="J31" s="317"/>
      <c r="K31" s="362"/>
      <c r="L31" s="382"/>
      <c r="M31" s="382"/>
      <c r="N31" s="382"/>
      <c r="O31" s="382"/>
      <c r="P31" s="382"/>
      <c r="Q31" s="382"/>
      <c r="R31" s="382"/>
      <c r="S31" s="382"/>
      <c r="T31" s="382"/>
      <c r="U31" s="382"/>
      <c r="V31" s="382"/>
      <c r="W31" s="406"/>
      <c r="X31" s="319">
        <f t="shared" si="11"/>
        <v>0</v>
      </c>
    </row>
    <row r="32" spans="1:24" ht="25.5" customHeight="1">
      <c r="A32" s="129"/>
      <c r="B32" s="507" t="s">
        <v>505</v>
      </c>
      <c r="C32" s="320">
        <v>0</v>
      </c>
      <c r="D32" s="67">
        <v>2450.0700000000002</v>
      </c>
      <c r="E32" s="67">
        <v>500</v>
      </c>
      <c r="F32" s="67">
        <v>10000</v>
      </c>
      <c r="G32" s="67">
        <f t="shared" si="0"/>
        <v>10000</v>
      </c>
      <c r="H32" s="317"/>
      <c r="I32" s="411"/>
      <c r="J32" s="317"/>
      <c r="K32" s="318">
        <v>6152</v>
      </c>
      <c r="L32" s="382"/>
      <c r="M32" s="382"/>
      <c r="N32" s="382"/>
      <c r="O32" s="382"/>
      <c r="P32" s="382"/>
      <c r="Q32" s="319">
        <v>620</v>
      </c>
      <c r="R32" s="382"/>
      <c r="S32" s="319">
        <v>3228</v>
      </c>
      <c r="T32" s="382"/>
      <c r="U32" s="382"/>
      <c r="V32" s="382"/>
      <c r="W32" s="406"/>
      <c r="X32" s="319">
        <f t="shared" si="11"/>
        <v>10000</v>
      </c>
    </row>
    <row r="33" spans="1:24" ht="15.75" customHeight="1">
      <c r="A33" s="129"/>
      <c r="B33" s="129" t="s">
        <v>240</v>
      </c>
      <c r="C33" s="320">
        <v>5000</v>
      </c>
      <c r="D33" s="67">
        <v>16890.78</v>
      </c>
      <c r="E33" s="67">
        <v>15000</v>
      </c>
      <c r="F33" s="67">
        <f>30000-10000</f>
        <v>20000</v>
      </c>
      <c r="G33" s="67">
        <f t="shared" si="0"/>
        <v>15000</v>
      </c>
      <c r="H33" s="317"/>
      <c r="I33" s="427" t="s">
        <v>506</v>
      </c>
      <c r="J33" s="317"/>
      <c r="K33" s="318">
        <f t="shared" ref="K33:V33" si="14">20000/12</f>
        <v>1666.6666666666667</v>
      </c>
      <c r="L33" s="318">
        <f t="shared" si="14"/>
        <v>1666.6666666666667</v>
      </c>
      <c r="M33" s="318">
        <f t="shared" si="14"/>
        <v>1666.6666666666667</v>
      </c>
      <c r="N33" s="318">
        <f t="shared" si="14"/>
        <v>1666.6666666666667</v>
      </c>
      <c r="O33" s="318">
        <f t="shared" si="14"/>
        <v>1666.6666666666667</v>
      </c>
      <c r="P33" s="318">
        <f t="shared" si="14"/>
        <v>1666.6666666666667</v>
      </c>
      <c r="Q33" s="318">
        <f t="shared" si="14"/>
        <v>1666.6666666666667</v>
      </c>
      <c r="R33" s="318">
        <f t="shared" si="14"/>
        <v>1666.6666666666667</v>
      </c>
      <c r="S33" s="318">
        <f t="shared" si="14"/>
        <v>1666.6666666666667</v>
      </c>
      <c r="T33" s="318">
        <f t="shared" si="14"/>
        <v>1666.6666666666667</v>
      </c>
      <c r="U33" s="318">
        <f t="shared" si="14"/>
        <v>1666.6666666666667</v>
      </c>
      <c r="V33" s="318">
        <f t="shared" si="14"/>
        <v>1666.6666666666667</v>
      </c>
      <c r="W33" s="468"/>
      <c r="X33" s="319">
        <f t="shared" si="11"/>
        <v>20000</v>
      </c>
    </row>
    <row r="34" spans="1:24" ht="15.75" customHeight="1">
      <c r="A34" s="132"/>
      <c r="B34" s="132" t="s">
        <v>507</v>
      </c>
      <c r="C34" s="166">
        <v>0</v>
      </c>
      <c r="D34" s="210">
        <v>151.31</v>
      </c>
      <c r="E34" s="461">
        <v>150</v>
      </c>
      <c r="F34" s="461">
        <v>300</v>
      </c>
      <c r="G34" s="166">
        <f t="shared" si="0"/>
        <v>300</v>
      </c>
      <c r="H34" s="508"/>
      <c r="I34" s="328"/>
      <c r="J34" s="508"/>
      <c r="K34" s="509"/>
      <c r="L34" s="180"/>
      <c r="M34" s="180"/>
      <c r="N34" s="180">
        <v>100</v>
      </c>
      <c r="O34" s="180"/>
      <c r="P34" s="180"/>
      <c r="Q34" s="180">
        <v>100</v>
      </c>
      <c r="R34" s="180"/>
      <c r="S34" s="180"/>
      <c r="T34" s="180"/>
      <c r="U34" s="180"/>
      <c r="V34" s="180">
        <v>100</v>
      </c>
      <c r="W34" s="510"/>
      <c r="X34" s="319">
        <f t="shared" si="11"/>
        <v>300</v>
      </c>
    </row>
    <row r="35" spans="1:24" ht="15.75" customHeight="1">
      <c r="A35" s="132"/>
      <c r="B35" s="132" t="s">
        <v>508</v>
      </c>
      <c r="C35" s="166">
        <v>0</v>
      </c>
      <c r="D35" s="210">
        <v>48.27</v>
      </c>
      <c r="E35" s="166"/>
      <c r="F35" s="166"/>
      <c r="G35" s="166">
        <f t="shared" si="0"/>
        <v>0</v>
      </c>
      <c r="H35" s="508"/>
      <c r="I35" s="166"/>
      <c r="J35" s="508"/>
      <c r="K35" s="511"/>
      <c r="L35" s="512"/>
      <c r="M35" s="512"/>
      <c r="N35" s="512"/>
      <c r="O35" s="512"/>
      <c r="P35" s="512"/>
      <c r="Q35" s="512"/>
      <c r="R35" s="512"/>
      <c r="S35" s="512"/>
      <c r="T35" s="512"/>
      <c r="U35" s="512"/>
      <c r="V35" s="512"/>
      <c r="W35" s="513"/>
      <c r="X35" s="319">
        <f t="shared" si="11"/>
        <v>0</v>
      </c>
    </row>
    <row r="36" spans="1:24" ht="15.75" customHeight="1">
      <c r="A36" s="128" t="s">
        <v>509</v>
      </c>
      <c r="B36" s="128"/>
      <c r="C36" s="384">
        <f t="shared" ref="C36:G36" si="15">SUM(C10:C14)+C15+C21+C23+C20+C34+C35</f>
        <v>712726</v>
      </c>
      <c r="D36" s="514">
        <f t="shared" si="15"/>
        <v>405513.7</v>
      </c>
      <c r="E36" s="514">
        <f t="shared" si="15"/>
        <v>298392.5</v>
      </c>
      <c r="F36" s="514">
        <f t="shared" si="15"/>
        <v>660056</v>
      </c>
      <c r="G36" s="515">
        <f t="shared" si="15"/>
        <v>-52670</v>
      </c>
      <c r="H36" s="516"/>
      <c r="I36" s="514"/>
      <c r="J36" s="516"/>
      <c r="K36" s="517">
        <f>SUM(K10:K14)+K15+K20+K21+K23+K35+K34</f>
        <v>160800.33333333334</v>
      </c>
      <c r="L36" s="517">
        <f t="shared" ref="L36:V36" si="16">SUM(L10:L14)+L15+L21+L23+L20+L34+L35</f>
        <v>42994.333333333343</v>
      </c>
      <c r="M36" s="517">
        <f t="shared" si="16"/>
        <v>45173.333333333343</v>
      </c>
      <c r="N36" s="517">
        <f t="shared" si="16"/>
        <v>43094.333333333343</v>
      </c>
      <c r="O36" s="517">
        <f t="shared" si="16"/>
        <v>45048.333333333343</v>
      </c>
      <c r="P36" s="517">
        <f t="shared" si="16"/>
        <v>48119.333333333343</v>
      </c>
      <c r="Q36" s="517">
        <f t="shared" si="16"/>
        <v>47168.333333333343</v>
      </c>
      <c r="R36" s="517">
        <f t="shared" si="16"/>
        <v>42994.333333333343</v>
      </c>
      <c r="S36" s="517">
        <f t="shared" si="16"/>
        <v>48401.333333333343</v>
      </c>
      <c r="T36" s="517">
        <f t="shared" si="16"/>
        <v>42994.333333333343</v>
      </c>
      <c r="U36" s="517">
        <f t="shared" si="16"/>
        <v>45048.333333333343</v>
      </c>
      <c r="V36" s="517">
        <f t="shared" si="16"/>
        <v>48219.333333333343</v>
      </c>
      <c r="W36" s="518"/>
      <c r="X36" s="517">
        <f>SUM(X10:X14)+X15+X21+X23+X20+X34+X35</f>
        <v>660056</v>
      </c>
    </row>
    <row r="37" spans="1:24" ht="15.75" customHeight="1">
      <c r="A37" s="129"/>
      <c r="B37" s="129"/>
      <c r="C37" s="292"/>
      <c r="D37" s="196"/>
      <c r="E37" s="196"/>
      <c r="F37" s="196"/>
      <c r="G37" s="196"/>
      <c r="H37" s="196"/>
      <c r="I37" s="196"/>
      <c r="J37" s="196"/>
      <c r="K37" s="196"/>
      <c r="L37" s="196"/>
      <c r="M37" s="196"/>
      <c r="N37" s="196"/>
      <c r="O37" s="196"/>
      <c r="P37" s="196"/>
      <c r="Q37" s="196"/>
      <c r="R37" s="196"/>
      <c r="S37" s="196"/>
      <c r="T37" s="196"/>
      <c r="U37" s="196"/>
      <c r="V37" s="196"/>
      <c r="W37" s="196"/>
      <c r="X37" s="196"/>
    </row>
    <row r="38" spans="1:24" ht="15.75" hidden="1" customHeight="1">
      <c r="A38" s="276" t="s">
        <v>291</v>
      </c>
      <c r="B38" s="129"/>
      <c r="C38" s="292"/>
      <c r="D38" s="277"/>
      <c r="E38" s="277"/>
      <c r="F38" s="277"/>
      <c r="G38" s="277"/>
      <c r="H38" s="277"/>
      <c r="I38" s="277"/>
      <c r="J38" s="277"/>
      <c r="K38" s="278">
        <f>K6-K36</f>
        <v>-160800.33333333334</v>
      </c>
      <c r="L38" s="278"/>
      <c r="M38" s="278">
        <f>M6-M36</f>
        <v>-45173.333333333343</v>
      </c>
      <c r="N38" s="278"/>
      <c r="O38" s="278">
        <f>O6-O36</f>
        <v>-45048.333333333343</v>
      </c>
      <c r="P38" s="278"/>
      <c r="Q38" s="278">
        <f>Q6-Q36</f>
        <v>-47168.333333333343</v>
      </c>
      <c r="R38" s="278"/>
      <c r="S38" s="278">
        <f>S6-S36</f>
        <v>-48401.333333333343</v>
      </c>
      <c r="T38" s="278"/>
      <c r="U38" s="278">
        <f>U6-U36</f>
        <v>-45048.333333333343</v>
      </c>
      <c r="V38" s="278"/>
      <c r="W38" s="278">
        <f t="shared" ref="W38:X38" si="17">W6-W36</f>
        <v>0</v>
      </c>
      <c r="X38" s="278">
        <f t="shared" si="17"/>
        <v>-660056</v>
      </c>
    </row>
    <row r="39" spans="1:24" ht="15.75" hidden="1" customHeight="1">
      <c r="A39" s="128"/>
      <c r="B39" s="129"/>
      <c r="C39" s="292"/>
      <c r="D39" s="129"/>
      <c r="E39" s="129"/>
      <c r="F39" s="129"/>
      <c r="G39" s="129"/>
      <c r="H39" s="129"/>
      <c r="I39" s="129"/>
      <c r="J39" s="129"/>
      <c r="K39" s="129"/>
      <c r="L39" s="129"/>
      <c r="M39" s="129"/>
      <c r="N39" s="129"/>
      <c r="O39" s="129"/>
      <c r="P39" s="129"/>
      <c r="Q39" s="129"/>
      <c r="R39" s="129"/>
      <c r="S39" s="129"/>
      <c r="T39" s="129"/>
      <c r="U39" s="129"/>
      <c r="V39" s="129"/>
      <c r="W39" s="129"/>
      <c r="X39" s="129"/>
    </row>
    <row r="40" spans="1:24" ht="15.75" hidden="1" customHeight="1">
      <c r="C40" s="328"/>
      <c r="D40" s="289"/>
      <c r="E40" s="289"/>
      <c r="F40" s="289"/>
      <c r="G40" s="289"/>
      <c r="H40" s="289"/>
      <c r="I40" s="289"/>
      <c r="J40" s="289"/>
      <c r="K40" s="289"/>
      <c r="L40" s="289"/>
      <c r="M40" s="289"/>
      <c r="N40" s="289"/>
      <c r="O40" s="289"/>
      <c r="P40" s="289"/>
      <c r="Q40" s="289"/>
      <c r="R40" s="289"/>
      <c r="S40" s="289"/>
      <c r="T40" s="289"/>
      <c r="U40" s="289"/>
      <c r="V40" s="289"/>
      <c r="W40" s="289"/>
      <c r="X40" s="289"/>
    </row>
    <row r="41" spans="1:24" ht="15.75" hidden="1"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1:24" ht="15.75" hidden="1"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1:24" ht="15.75" hidden="1"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1:24" ht="15.75" hidden="1"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1:24" ht="15.75" hidden="1"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1:24" ht="15.75" hidden="1"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1:24" ht="15.75" hidden="1"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1: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2: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2:24" ht="15.75" customHeight="1">
      <c r="B50" s="519" t="s">
        <v>510</v>
      </c>
      <c r="C50" s="520"/>
      <c r="D50" s="289"/>
      <c r="E50" s="289"/>
      <c r="F50" s="289"/>
      <c r="G50" s="289"/>
      <c r="H50" s="289"/>
      <c r="I50" s="289"/>
      <c r="J50" s="289"/>
      <c r="K50" s="289"/>
      <c r="L50" s="289"/>
      <c r="M50" s="289"/>
      <c r="N50" s="289"/>
      <c r="O50" s="289"/>
      <c r="P50" s="289"/>
      <c r="Q50" s="289"/>
      <c r="R50" s="289"/>
      <c r="S50" s="289"/>
      <c r="T50" s="289"/>
      <c r="U50" s="289"/>
      <c r="V50" s="289"/>
      <c r="W50" s="289"/>
      <c r="X50" s="289"/>
    </row>
    <row r="51" spans="2:24" ht="15.75" customHeight="1">
      <c r="B51" s="289" t="s">
        <v>511</v>
      </c>
      <c r="C51" s="520"/>
      <c r="D51" s="520"/>
      <c r="E51" s="520"/>
      <c r="F51" s="520"/>
      <c r="G51" s="520"/>
      <c r="H51" s="520"/>
      <c r="I51" s="520"/>
      <c r="J51" s="520"/>
      <c r="K51" s="520"/>
      <c r="L51" s="520"/>
      <c r="M51" s="520"/>
      <c r="N51" s="520"/>
      <c r="O51" s="289"/>
      <c r="P51" s="289"/>
      <c r="Q51" s="289"/>
      <c r="R51" s="289"/>
      <c r="S51" s="289"/>
      <c r="T51" s="289"/>
      <c r="U51" s="289"/>
      <c r="V51" s="289"/>
      <c r="W51" s="289"/>
      <c r="X51" s="289"/>
    </row>
    <row r="52" spans="2:24" ht="15.75" customHeight="1">
      <c r="B52" s="289" t="s">
        <v>512</v>
      </c>
      <c r="C52" s="520"/>
      <c r="D52" s="520"/>
      <c r="E52" s="520"/>
      <c r="F52" s="520"/>
      <c r="G52" s="520"/>
      <c r="H52" s="520"/>
      <c r="I52" s="520"/>
      <c r="J52" s="520"/>
      <c r="K52" s="520"/>
      <c r="L52" s="521">
        <f>50000+28000+48926.5+5450.81-2028.35</f>
        <v>130348.95999999999</v>
      </c>
      <c r="M52" s="520"/>
      <c r="N52" s="520"/>
      <c r="O52" s="289"/>
      <c r="P52" s="289"/>
      <c r="Q52" s="289"/>
      <c r="R52" s="289"/>
      <c r="S52" s="289"/>
      <c r="T52" s="289"/>
      <c r="U52" s="289"/>
      <c r="V52" s="289"/>
      <c r="W52" s="289"/>
      <c r="X52" s="289"/>
    </row>
    <row r="53" spans="2:24" ht="15.75" customHeight="1">
      <c r="B53" s="289" t="s">
        <v>237</v>
      </c>
      <c r="C53" s="520"/>
      <c r="D53" s="520"/>
      <c r="E53" s="520"/>
      <c r="F53" s="520"/>
      <c r="G53" s="520"/>
      <c r="H53" s="520"/>
      <c r="I53" s="520"/>
      <c r="J53" s="520"/>
      <c r="K53" s="520"/>
      <c r="L53" s="521">
        <v>40756</v>
      </c>
      <c r="M53" s="520"/>
      <c r="N53" s="521">
        <v>49962.6</v>
      </c>
      <c r="O53" s="289"/>
      <c r="P53" s="289"/>
      <c r="Q53" s="289"/>
      <c r="R53" s="289"/>
      <c r="S53" s="289"/>
      <c r="T53" s="289"/>
      <c r="U53" s="289"/>
      <c r="V53" s="289"/>
      <c r="W53" s="289"/>
      <c r="X53" s="289"/>
    </row>
    <row r="54" spans="2:24" ht="15.75" customHeight="1">
      <c r="B54" s="289" t="s">
        <v>513</v>
      </c>
      <c r="C54" s="520"/>
      <c r="D54" s="520"/>
      <c r="E54" s="520"/>
      <c r="F54" s="520"/>
      <c r="G54" s="520"/>
      <c r="H54" s="520"/>
      <c r="I54" s="520"/>
      <c r="J54" s="520"/>
      <c r="K54" s="520"/>
      <c r="L54" s="520"/>
      <c r="M54" s="520"/>
      <c r="N54" s="521">
        <v>2125</v>
      </c>
      <c r="O54" s="289"/>
      <c r="P54" s="289"/>
      <c r="Q54" s="289"/>
      <c r="R54" s="289"/>
      <c r="S54" s="289"/>
      <c r="T54" s="289"/>
      <c r="U54" s="289"/>
      <c r="V54" s="289"/>
      <c r="W54" s="289"/>
      <c r="X54" s="289"/>
    </row>
    <row r="55" spans="2: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2: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2: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2: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2: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2: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2: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2: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2: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2: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3:24" ht="15.75" customHeight="1">
      <c r="C219" s="328"/>
      <c r="D219" s="289"/>
      <c r="E219" s="289"/>
      <c r="F219" s="289"/>
      <c r="G219" s="289"/>
      <c r="H219" s="289"/>
      <c r="I219" s="289"/>
      <c r="J219" s="289"/>
      <c r="K219" s="289"/>
      <c r="L219" s="289"/>
      <c r="M219" s="289"/>
      <c r="N219" s="289"/>
      <c r="O219" s="289"/>
      <c r="P219" s="289"/>
      <c r="Q219" s="289"/>
      <c r="R219" s="289"/>
      <c r="S219" s="289"/>
      <c r="T219" s="289"/>
      <c r="U219" s="289"/>
      <c r="V219" s="289"/>
      <c r="W219" s="289"/>
      <c r="X219" s="289"/>
    </row>
    <row r="220" spans="3:24" ht="15.75" customHeight="1">
      <c r="C220" s="328"/>
      <c r="D220" s="289"/>
      <c r="E220" s="289"/>
      <c r="F220" s="289"/>
      <c r="G220" s="289"/>
      <c r="H220" s="289"/>
      <c r="I220" s="289"/>
      <c r="J220" s="289"/>
      <c r="K220" s="289"/>
      <c r="L220" s="289"/>
      <c r="M220" s="289"/>
      <c r="N220" s="289"/>
      <c r="O220" s="289"/>
      <c r="P220" s="289"/>
      <c r="Q220" s="289"/>
      <c r="R220" s="289"/>
      <c r="S220" s="289"/>
      <c r="T220" s="289"/>
      <c r="U220" s="289"/>
      <c r="V220" s="289"/>
      <c r="W220" s="289"/>
      <c r="X220" s="289"/>
    </row>
    <row r="221" spans="3:24" ht="15.75" customHeight="1">
      <c r="C221" s="328"/>
      <c r="D221" s="289"/>
      <c r="E221" s="289"/>
      <c r="F221" s="289"/>
      <c r="G221" s="289"/>
      <c r="H221" s="289"/>
      <c r="I221" s="289"/>
      <c r="J221" s="289"/>
      <c r="K221" s="289"/>
      <c r="L221" s="289"/>
      <c r="M221" s="289"/>
      <c r="N221" s="289"/>
      <c r="O221" s="289"/>
      <c r="P221" s="289"/>
      <c r="Q221" s="289"/>
      <c r="R221" s="289"/>
      <c r="S221" s="289"/>
      <c r="T221" s="289"/>
      <c r="U221" s="289"/>
      <c r="V221" s="289"/>
      <c r="W221" s="289"/>
      <c r="X221" s="289"/>
    </row>
    <row r="222" spans="3:24" ht="15.75" customHeight="1">
      <c r="C222" s="328"/>
      <c r="D222" s="289"/>
      <c r="E222" s="289"/>
      <c r="F222" s="289"/>
      <c r="G222" s="289"/>
      <c r="H222" s="289"/>
      <c r="I222" s="289"/>
      <c r="J222" s="289"/>
      <c r="K222" s="289"/>
      <c r="L222" s="289"/>
      <c r="M222" s="289"/>
      <c r="N222" s="289"/>
      <c r="O222" s="289"/>
      <c r="P222" s="289"/>
      <c r="Q222" s="289"/>
      <c r="R222" s="289"/>
      <c r="S222" s="289"/>
      <c r="T222" s="289"/>
      <c r="U222" s="289"/>
      <c r="V222" s="289"/>
      <c r="W222" s="289"/>
      <c r="X222" s="289"/>
    </row>
    <row r="223" spans="3:24" ht="15.75" customHeight="1">
      <c r="C223" s="328"/>
      <c r="D223" s="289"/>
      <c r="E223" s="289"/>
      <c r="F223" s="289"/>
      <c r="G223" s="289"/>
      <c r="H223" s="289"/>
      <c r="I223" s="289"/>
      <c r="J223" s="289"/>
      <c r="K223" s="289"/>
      <c r="L223" s="289"/>
      <c r="M223" s="289"/>
      <c r="N223" s="289"/>
      <c r="O223" s="289"/>
      <c r="P223" s="289"/>
      <c r="Q223" s="289"/>
      <c r="R223" s="289"/>
      <c r="S223" s="289"/>
      <c r="T223" s="289"/>
      <c r="U223" s="289"/>
      <c r="V223" s="289"/>
      <c r="W223" s="289"/>
      <c r="X223" s="289"/>
    </row>
    <row r="224" spans="3:24" ht="15.75" customHeight="1">
      <c r="C224" s="328"/>
      <c r="D224" s="289"/>
      <c r="E224" s="289"/>
      <c r="F224" s="289"/>
      <c r="G224" s="289"/>
      <c r="H224" s="289"/>
      <c r="I224" s="289"/>
      <c r="J224" s="289"/>
      <c r="K224" s="289"/>
      <c r="L224" s="289"/>
      <c r="M224" s="289"/>
      <c r="N224" s="289"/>
      <c r="O224" s="289"/>
      <c r="P224" s="289"/>
      <c r="Q224" s="289"/>
      <c r="R224" s="289"/>
      <c r="S224" s="289"/>
      <c r="T224" s="289"/>
      <c r="U224" s="289"/>
      <c r="V224" s="289"/>
      <c r="W224" s="289"/>
      <c r="X224" s="289"/>
    </row>
    <row r="225" spans="3:24" ht="15.75" customHeight="1">
      <c r="C225" s="328"/>
      <c r="D225" s="289"/>
      <c r="E225" s="289"/>
      <c r="F225" s="289"/>
      <c r="G225" s="289"/>
      <c r="H225" s="289"/>
      <c r="I225" s="289"/>
      <c r="J225" s="289"/>
      <c r="K225" s="289"/>
      <c r="L225" s="289"/>
      <c r="M225" s="289"/>
      <c r="N225" s="289"/>
      <c r="O225" s="289"/>
      <c r="P225" s="289"/>
      <c r="Q225" s="289"/>
      <c r="R225" s="289"/>
      <c r="S225" s="289"/>
      <c r="T225" s="289"/>
      <c r="U225" s="289"/>
      <c r="V225" s="289"/>
      <c r="W225" s="289"/>
      <c r="X225" s="289"/>
    </row>
    <row r="226" spans="3:24" ht="15.75" customHeight="1">
      <c r="C226" s="328"/>
      <c r="D226" s="289"/>
      <c r="E226" s="289"/>
      <c r="F226" s="289"/>
      <c r="G226" s="289"/>
      <c r="H226" s="289"/>
      <c r="I226" s="289"/>
      <c r="J226" s="289"/>
      <c r="K226" s="289"/>
      <c r="L226" s="289"/>
      <c r="M226" s="289"/>
      <c r="N226" s="289"/>
      <c r="O226" s="289"/>
      <c r="P226" s="289"/>
      <c r="Q226" s="289"/>
      <c r="R226" s="289"/>
      <c r="S226" s="289"/>
      <c r="T226" s="289"/>
      <c r="U226" s="289"/>
      <c r="V226" s="289"/>
      <c r="W226" s="289"/>
      <c r="X226" s="289"/>
    </row>
    <row r="227" spans="3:24" ht="15.75" customHeight="1">
      <c r="C227" s="328"/>
      <c r="D227" s="289"/>
      <c r="E227" s="289"/>
      <c r="F227" s="289"/>
      <c r="G227" s="289"/>
      <c r="H227" s="289"/>
      <c r="I227" s="289"/>
      <c r="J227" s="289"/>
      <c r="K227" s="289"/>
      <c r="L227" s="289"/>
      <c r="M227" s="289"/>
      <c r="N227" s="289"/>
      <c r="O227" s="289"/>
      <c r="P227" s="289"/>
      <c r="Q227" s="289"/>
      <c r="R227" s="289"/>
      <c r="S227" s="289"/>
      <c r="T227" s="289"/>
      <c r="U227" s="289"/>
      <c r="V227" s="289"/>
      <c r="W227" s="289"/>
      <c r="X227" s="289"/>
    </row>
    <row r="228" spans="3:24" ht="15.75" customHeight="1">
      <c r="C228" s="328"/>
      <c r="D228" s="289"/>
      <c r="E228" s="289"/>
      <c r="F228" s="289"/>
      <c r="G228" s="289"/>
      <c r="H228" s="289"/>
      <c r="I228" s="289"/>
      <c r="J228" s="289"/>
      <c r="K228" s="289"/>
      <c r="L228" s="289"/>
      <c r="M228" s="289"/>
      <c r="N228" s="289"/>
      <c r="O228" s="289"/>
      <c r="P228" s="289"/>
      <c r="Q228" s="289"/>
      <c r="R228" s="289"/>
      <c r="S228" s="289"/>
      <c r="T228" s="289"/>
      <c r="U228" s="289"/>
      <c r="V228" s="289"/>
      <c r="W228" s="289"/>
      <c r="X228" s="289"/>
    </row>
    <row r="229" spans="3:24" ht="15.75" customHeight="1">
      <c r="C229" s="328"/>
      <c r="D229" s="289"/>
      <c r="E229" s="289"/>
      <c r="F229" s="289"/>
      <c r="G229" s="289"/>
      <c r="H229" s="289"/>
      <c r="I229" s="289"/>
      <c r="J229" s="289"/>
      <c r="K229" s="289"/>
      <c r="L229" s="289"/>
      <c r="M229" s="289"/>
      <c r="N229" s="289"/>
      <c r="O229" s="289"/>
      <c r="P229" s="289"/>
      <c r="Q229" s="289"/>
      <c r="R229" s="289"/>
      <c r="S229" s="289"/>
      <c r="T229" s="289"/>
      <c r="U229" s="289"/>
      <c r="V229" s="289"/>
      <c r="W229" s="289"/>
      <c r="X229" s="289"/>
    </row>
    <row r="230" spans="3:24" ht="15.75" customHeight="1">
      <c r="C230" s="328"/>
      <c r="D230" s="289"/>
      <c r="E230" s="289"/>
      <c r="F230" s="289"/>
      <c r="G230" s="289"/>
      <c r="H230" s="289"/>
      <c r="I230" s="289"/>
      <c r="J230" s="289"/>
      <c r="K230" s="289"/>
      <c r="L230" s="289"/>
      <c r="M230" s="289"/>
      <c r="N230" s="289"/>
      <c r="O230" s="289"/>
      <c r="P230" s="289"/>
      <c r="Q230" s="289"/>
      <c r="R230" s="289"/>
      <c r="S230" s="289"/>
      <c r="T230" s="289"/>
      <c r="U230" s="289"/>
      <c r="V230" s="289"/>
      <c r="W230" s="289"/>
      <c r="X230" s="289"/>
    </row>
    <row r="231" spans="3:24" ht="15.75" customHeight="1">
      <c r="C231" s="328"/>
      <c r="D231" s="289"/>
      <c r="E231" s="289"/>
      <c r="F231" s="289"/>
      <c r="G231" s="289"/>
      <c r="H231" s="289"/>
      <c r="I231" s="289"/>
      <c r="J231" s="289"/>
      <c r="K231" s="289"/>
      <c r="L231" s="289"/>
      <c r="M231" s="289"/>
      <c r="N231" s="289"/>
      <c r="O231" s="289"/>
      <c r="P231" s="289"/>
      <c r="Q231" s="289"/>
      <c r="R231" s="289"/>
      <c r="S231" s="289"/>
      <c r="T231" s="289"/>
      <c r="U231" s="289"/>
      <c r="V231" s="289"/>
      <c r="W231" s="289"/>
      <c r="X231" s="289"/>
    </row>
    <row r="232" spans="3:24" ht="15.75" customHeight="1">
      <c r="C232" s="328"/>
      <c r="D232" s="289"/>
      <c r="E232" s="289"/>
      <c r="F232" s="289"/>
      <c r="G232" s="289"/>
      <c r="H232" s="289"/>
      <c r="I232" s="289"/>
      <c r="J232" s="289"/>
      <c r="K232" s="289"/>
      <c r="L232" s="289"/>
      <c r="M232" s="289"/>
      <c r="N232" s="289"/>
      <c r="O232" s="289"/>
      <c r="P232" s="289"/>
      <c r="Q232" s="289"/>
      <c r="R232" s="289"/>
      <c r="S232" s="289"/>
      <c r="T232" s="289"/>
      <c r="U232" s="289"/>
      <c r="V232" s="289"/>
      <c r="W232" s="289"/>
      <c r="X232" s="289"/>
    </row>
    <row r="233" spans="3:24" ht="15.75" customHeight="1">
      <c r="C233" s="328"/>
      <c r="D233" s="289"/>
      <c r="E233" s="289"/>
      <c r="F233" s="289"/>
      <c r="G233" s="289"/>
      <c r="H233" s="289"/>
      <c r="I233" s="289"/>
      <c r="J233" s="289"/>
      <c r="K233" s="289"/>
      <c r="L233" s="289"/>
      <c r="M233" s="289"/>
      <c r="N233" s="289"/>
      <c r="O233" s="289"/>
      <c r="P233" s="289"/>
      <c r="Q233" s="289"/>
      <c r="R233" s="289"/>
      <c r="S233" s="289"/>
      <c r="T233" s="289"/>
      <c r="U233" s="289"/>
      <c r="V233" s="289"/>
      <c r="W233" s="289"/>
      <c r="X233" s="289"/>
    </row>
    <row r="234" spans="3:24" ht="15.75" customHeight="1">
      <c r="C234" s="328"/>
      <c r="D234" s="289"/>
      <c r="E234" s="289"/>
      <c r="F234" s="289"/>
      <c r="G234" s="289"/>
      <c r="H234" s="289"/>
      <c r="I234" s="289"/>
      <c r="J234" s="289"/>
      <c r="K234" s="289"/>
      <c r="L234" s="289"/>
      <c r="M234" s="289"/>
      <c r="N234" s="289"/>
      <c r="O234" s="289"/>
      <c r="P234" s="289"/>
      <c r="Q234" s="289"/>
      <c r="R234" s="289"/>
      <c r="S234" s="289"/>
      <c r="T234" s="289"/>
      <c r="U234" s="289"/>
      <c r="V234" s="289"/>
      <c r="W234" s="289"/>
      <c r="X234" s="289"/>
    </row>
    <row r="235" spans="3:24" ht="15.75" customHeight="1">
      <c r="C235" s="328"/>
      <c r="D235" s="289"/>
      <c r="E235" s="289"/>
      <c r="F235" s="289"/>
      <c r="G235" s="289"/>
      <c r="H235" s="289"/>
      <c r="I235" s="289"/>
      <c r="J235" s="289"/>
      <c r="K235" s="289"/>
      <c r="L235" s="289"/>
      <c r="M235" s="289"/>
      <c r="N235" s="289"/>
      <c r="O235" s="289"/>
      <c r="P235" s="289"/>
      <c r="Q235" s="289"/>
      <c r="R235" s="289"/>
      <c r="S235" s="289"/>
      <c r="T235" s="289"/>
      <c r="U235" s="289"/>
      <c r="V235" s="289"/>
      <c r="W235" s="289"/>
      <c r="X235" s="289"/>
    </row>
    <row r="236" spans="3:24" ht="15.75" customHeight="1">
      <c r="C236" s="328"/>
      <c r="D236" s="289"/>
      <c r="E236" s="289"/>
      <c r="F236" s="289"/>
      <c r="G236" s="289"/>
      <c r="H236" s="289"/>
      <c r="I236" s="289"/>
      <c r="J236" s="289"/>
      <c r="K236" s="289"/>
      <c r="L236" s="289"/>
      <c r="M236" s="289"/>
      <c r="N236" s="289"/>
      <c r="O236" s="289"/>
      <c r="P236" s="289"/>
      <c r="Q236" s="289"/>
      <c r="R236" s="289"/>
      <c r="S236" s="289"/>
      <c r="T236" s="289"/>
      <c r="U236" s="289"/>
      <c r="V236" s="289"/>
      <c r="W236" s="289"/>
      <c r="X236" s="289"/>
    </row>
    <row r="237" spans="3:24" ht="15.75" customHeight="1">
      <c r="C237" s="328"/>
      <c r="D237" s="289"/>
      <c r="E237" s="289"/>
      <c r="F237" s="289"/>
      <c r="G237" s="289"/>
      <c r="H237" s="289"/>
      <c r="I237" s="289"/>
      <c r="J237" s="289"/>
      <c r="K237" s="289"/>
      <c r="L237" s="289"/>
      <c r="M237" s="289"/>
      <c r="N237" s="289"/>
      <c r="O237" s="289"/>
      <c r="P237" s="289"/>
      <c r="Q237" s="289"/>
      <c r="R237" s="289"/>
      <c r="S237" s="289"/>
      <c r="T237" s="289"/>
      <c r="U237" s="289"/>
      <c r="V237" s="289"/>
      <c r="W237" s="289"/>
      <c r="X237" s="289"/>
    </row>
    <row r="238" spans="3:24" ht="15.75" customHeight="1">
      <c r="C238" s="328"/>
      <c r="D238" s="289"/>
      <c r="E238" s="289"/>
      <c r="F238" s="289"/>
      <c r="G238" s="289"/>
      <c r="H238" s="289"/>
      <c r="I238" s="289"/>
      <c r="J238" s="289"/>
      <c r="K238" s="289"/>
      <c r="L238" s="289"/>
      <c r="M238" s="289"/>
      <c r="N238" s="289"/>
      <c r="O238" s="289"/>
      <c r="P238" s="289"/>
      <c r="Q238" s="289"/>
      <c r="R238" s="289"/>
      <c r="S238" s="289"/>
      <c r="T238" s="289"/>
      <c r="U238" s="289"/>
      <c r="V238" s="289"/>
      <c r="W238" s="289"/>
      <c r="X238" s="289"/>
    </row>
    <row r="239" spans="3:24" ht="15.75" customHeight="1"/>
    <row r="240" spans="3: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X999"/>
  <sheetViews>
    <sheetView workbookViewId="0"/>
  </sheetViews>
  <sheetFormatPr defaultColWidth="12.5703125" defaultRowHeight="15" customHeight="1"/>
  <cols>
    <col min="1" max="1" width="4" customWidth="1"/>
    <col min="2" max="2" width="34.5703125" customWidth="1"/>
    <col min="3" max="3" width="13.5703125" customWidth="1"/>
    <col min="4" max="4" width="13" customWidth="1"/>
    <col min="5" max="6" width="11.5703125" customWidth="1"/>
    <col min="7" max="7" width="14.85546875" customWidth="1"/>
    <col min="8" max="8" width="2.140625" customWidth="1"/>
    <col min="9" max="9" width="54.42578125" customWidth="1"/>
    <col min="10" max="10" width="2.285156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28515625" customWidth="1"/>
    <col min="24" max="24" width="11.42578125" customWidth="1"/>
  </cols>
  <sheetData>
    <row r="1" spans="1:24" ht="15.75" customHeight="1">
      <c r="A1" s="128" t="s">
        <v>122</v>
      </c>
      <c r="B1" s="129"/>
      <c r="C1" s="292"/>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514</v>
      </c>
      <c r="B2" s="129"/>
      <c r="C2" s="292"/>
      <c r="D2" s="129"/>
      <c r="E2" s="129"/>
      <c r="F2" s="129"/>
      <c r="G2" s="129"/>
      <c r="H2" s="129"/>
      <c r="I2" s="129"/>
      <c r="J2" s="129"/>
      <c r="K2" s="129"/>
      <c r="L2" s="129"/>
      <c r="M2" s="129"/>
      <c r="N2" s="129"/>
      <c r="O2" s="129"/>
      <c r="P2" s="129"/>
      <c r="Q2" s="129"/>
      <c r="R2" s="129"/>
      <c r="S2" s="129"/>
      <c r="T2" s="129"/>
      <c r="U2" s="129"/>
      <c r="V2" s="129"/>
      <c r="W2" s="129"/>
      <c r="X2" s="129"/>
    </row>
    <row r="3" spans="1:24" ht="15.75" customHeight="1">
      <c r="A3" s="293"/>
      <c r="B3" s="294"/>
      <c r="C3" s="292"/>
      <c r="D3" s="129"/>
      <c r="E3" s="129"/>
      <c r="F3" s="129"/>
      <c r="G3" s="129"/>
      <c r="H3" s="129"/>
      <c r="I3" s="129"/>
      <c r="J3" s="129"/>
      <c r="K3" s="129"/>
      <c r="L3" s="129"/>
      <c r="M3" s="129"/>
      <c r="N3" s="129"/>
      <c r="O3" s="129"/>
      <c r="P3" s="129"/>
      <c r="Q3" s="129"/>
      <c r="R3" s="135"/>
      <c r="S3" s="135"/>
      <c r="T3" s="129"/>
      <c r="U3" s="129"/>
      <c r="V3" s="129"/>
      <c r="W3" s="129"/>
      <c r="X3" s="129"/>
    </row>
    <row r="4" spans="1:24" ht="40.5"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128" t="s">
        <v>153</v>
      </c>
      <c r="B5" s="128"/>
      <c r="C5" s="335">
        <v>0</v>
      </c>
      <c r="D5" s="488"/>
      <c r="E5" s="488"/>
      <c r="F5" s="488"/>
      <c r="G5" s="488"/>
      <c r="H5" s="337"/>
      <c r="I5" s="488"/>
      <c r="J5" s="337"/>
      <c r="K5" s="522">
        <v>0</v>
      </c>
      <c r="L5" s="522"/>
      <c r="M5" s="522">
        <v>0</v>
      </c>
      <c r="N5" s="522"/>
      <c r="O5" s="522">
        <v>0</v>
      </c>
      <c r="P5" s="522"/>
      <c r="Q5" s="522">
        <v>0</v>
      </c>
      <c r="R5" s="522"/>
      <c r="S5" s="522">
        <v>0</v>
      </c>
      <c r="T5" s="522"/>
      <c r="U5" s="522">
        <v>0</v>
      </c>
      <c r="V5" s="522"/>
      <c r="W5" s="389"/>
      <c r="X5" s="522">
        <v>0</v>
      </c>
    </row>
    <row r="6" spans="1:24" ht="15.75" customHeight="1">
      <c r="A6" s="128"/>
      <c r="B6" s="129"/>
      <c r="C6" s="292"/>
      <c r="D6" s="135"/>
      <c r="E6" s="135"/>
      <c r="F6" s="135"/>
      <c r="G6" s="135"/>
      <c r="H6" s="135"/>
      <c r="I6" s="135"/>
      <c r="J6" s="135"/>
      <c r="K6" s="135"/>
      <c r="L6" s="135"/>
      <c r="M6" s="135"/>
      <c r="N6" s="135"/>
      <c r="O6" s="135"/>
      <c r="P6" s="135"/>
      <c r="Q6" s="135"/>
      <c r="R6" s="135"/>
      <c r="S6" s="135"/>
      <c r="T6" s="135"/>
      <c r="U6" s="135"/>
      <c r="V6" s="135"/>
      <c r="W6" s="135"/>
      <c r="X6" s="135"/>
    </row>
    <row r="7" spans="1:24" ht="32.25" customHeight="1">
      <c r="A7" s="128" t="s">
        <v>154</v>
      </c>
      <c r="B7" s="129"/>
      <c r="C7" s="137"/>
      <c r="D7" s="140"/>
      <c r="E7" s="140"/>
      <c r="F7" s="140"/>
      <c r="G7" s="140"/>
      <c r="H7" s="295"/>
      <c r="I7" s="295"/>
      <c r="J7" s="295"/>
      <c r="K7" s="295"/>
      <c r="L7" s="295"/>
      <c r="M7" s="295"/>
      <c r="N7" s="295"/>
      <c r="O7" s="295"/>
      <c r="P7" s="295"/>
      <c r="Q7" s="295"/>
      <c r="R7" s="295"/>
      <c r="S7" s="295"/>
      <c r="T7" s="295"/>
      <c r="U7" s="295"/>
      <c r="V7" s="295"/>
      <c r="W7" s="295"/>
      <c r="X7" s="295"/>
    </row>
    <row r="8" spans="1:24" ht="15.75" customHeight="1">
      <c r="A8" s="128"/>
      <c r="B8" s="12" t="s">
        <v>478</v>
      </c>
      <c r="C8" s="12"/>
      <c r="D8" s="314"/>
      <c r="E8" s="314"/>
      <c r="F8" s="314"/>
      <c r="G8" s="314"/>
      <c r="H8" s="219"/>
      <c r="I8" s="375"/>
      <c r="J8" s="219"/>
      <c r="K8" s="401"/>
      <c r="L8" s="401"/>
      <c r="M8" s="401"/>
      <c r="N8" s="401"/>
      <c r="O8" s="401"/>
      <c r="P8" s="401"/>
      <c r="Q8" s="401"/>
      <c r="R8" s="401"/>
      <c r="S8" s="401"/>
      <c r="T8" s="401"/>
      <c r="U8" s="401"/>
      <c r="V8" s="401"/>
      <c r="W8" s="402"/>
      <c r="X8" s="401"/>
    </row>
    <row r="9" spans="1:24" ht="15.75" customHeight="1">
      <c r="A9" s="129"/>
      <c r="B9" s="523" t="s">
        <v>515</v>
      </c>
      <c r="C9" s="524">
        <v>0</v>
      </c>
      <c r="D9" s="67">
        <v>927</v>
      </c>
      <c r="E9" s="67"/>
      <c r="F9" s="67"/>
      <c r="G9" s="67">
        <f t="shared" ref="G9:G21" si="0">F9-C9</f>
        <v>0</v>
      </c>
      <c r="H9" s="317"/>
      <c r="I9" s="375"/>
      <c r="J9" s="317"/>
      <c r="K9" s="318"/>
      <c r="L9" s="319"/>
      <c r="M9" s="319"/>
      <c r="N9" s="319"/>
      <c r="O9" s="319"/>
      <c r="P9" s="319"/>
      <c r="Q9" s="319"/>
      <c r="R9" s="319"/>
      <c r="S9" s="319"/>
      <c r="T9" s="319"/>
      <c r="U9" s="319"/>
      <c r="V9" s="319"/>
      <c r="W9" s="406"/>
      <c r="X9" s="319">
        <f t="shared" ref="X9:X10" si="1">SUM(K9:V9)</f>
        <v>0</v>
      </c>
    </row>
    <row r="10" spans="1:24" ht="26.25" customHeight="1">
      <c r="A10" s="129"/>
      <c r="B10" s="128" t="s">
        <v>516</v>
      </c>
      <c r="C10" s="384">
        <f>5000+5000</f>
        <v>10000</v>
      </c>
      <c r="D10" s="67">
        <v>3337</v>
      </c>
      <c r="E10" s="67"/>
      <c r="F10" s="67">
        <v>10000</v>
      </c>
      <c r="G10" s="67">
        <f t="shared" si="0"/>
        <v>0</v>
      </c>
      <c r="H10" s="317"/>
      <c r="I10" s="357" t="s">
        <v>517</v>
      </c>
      <c r="J10" s="317"/>
      <c r="K10" s="318">
        <v>5000</v>
      </c>
      <c r="L10" s="319"/>
      <c r="M10" s="319"/>
      <c r="N10" s="319"/>
      <c r="O10" s="319"/>
      <c r="P10" s="319">
        <v>5000</v>
      </c>
      <c r="Q10" s="319"/>
      <c r="R10" s="319"/>
      <c r="S10" s="319"/>
      <c r="T10" s="319"/>
      <c r="U10" s="319"/>
      <c r="V10" s="319"/>
      <c r="W10" s="406"/>
      <c r="X10" s="319">
        <f t="shared" si="1"/>
        <v>10000</v>
      </c>
    </row>
    <row r="11" spans="1:24" ht="15.75" customHeight="1">
      <c r="A11" s="129"/>
      <c r="B11" s="128" t="s">
        <v>230</v>
      </c>
      <c r="C11" s="384">
        <f t="shared" ref="C11:F11" si="2">SUM(C12:C20)</f>
        <v>72500</v>
      </c>
      <c r="D11" s="311">
        <f t="shared" si="2"/>
        <v>48403.42</v>
      </c>
      <c r="E11" s="311">
        <f t="shared" si="2"/>
        <v>83300</v>
      </c>
      <c r="F11" s="311">
        <f t="shared" si="2"/>
        <v>123000</v>
      </c>
      <c r="G11" s="311">
        <f t="shared" si="0"/>
        <v>50500</v>
      </c>
      <c r="H11" s="211"/>
      <c r="I11" s="375"/>
      <c r="J11" s="211"/>
      <c r="K11" s="225">
        <f t="shared" ref="K11:V11" si="3">SUM(K12:K20)</f>
        <v>18250</v>
      </c>
      <c r="L11" s="225">
        <f t="shared" si="3"/>
        <v>1500</v>
      </c>
      <c r="M11" s="225">
        <f t="shared" si="3"/>
        <v>1500</v>
      </c>
      <c r="N11" s="225">
        <f t="shared" si="3"/>
        <v>25250</v>
      </c>
      <c r="O11" s="225">
        <f t="shared" si="3"/>
        <v>1500</v>
      </c>
      <c r="P11" s="225">
        <f t="shared" si="3"/>
        <v>12500</v>
      </c>
      <c r="Q11" s="225">
        <f t="shared" si="3"/>
        <v>14000</v>
      </c>
      <c r="R11" s="225">
        <f t="shared" si="3"/>
        <v>4750</v>
      </c>
      <c r="S11" s="225">
        <f t="shared" si="3"/>
        <v>1500</v>
      </c>
      <c r="T11" s="225">
        <f t="shared" si="3"/>
        <v>25250</v>
      </c>
      <c r="U11" s="225">
        <f t="shared" si="3"/>
        <v>1500</v>
      </c>
      <c r="V11" s="225">
        <f t="shared" si="3"/>
        <v>15500</v>
      </c>
      <c r="W11" s="393"/>
      <c r="X11" s="225">
        <f>SUM(X12:X20)</f>
        <v>123000</v>
      </c>
    </row>
    <row r="12" spans="1:24" ht="15.75" customHeight="1">
      <c r="A12" s="129"/>
      <c r="B12" s="129" t="s">
        <v>231</v>
      </c>
      <c r="C12" s="320">
        <v>30000</v>
      </c>
      <c r="D12" s="67">
        <v>8880</v>
      </c>
      <c r="E12" s="67">
        <v>15000</v>
      </c>
      <c r="F12" s="67">
        <v>34000</v>
      </c>
      <c r="G12" s="67">
        <f t="shared" si="0"/>
        <v>4000</v>
      </c>
      <c r="H12" s="317"/>
      <c r="I12" s="357" t="s">
        <v>518</v>
      </c>
      <c r="J12" s="317"/>
      <c r="K12" s="318"/>
      <c r="L12" s="319"/>
      <c r="M12" s="319"/>
      <c r="N12" s="319">
        <v>8000</v>
      </c>
      <c r="O12" s="319"/>
      <c r="P12" s="319">
        <v>8000</v>
      </c>
      <c r="Q12" s="319"/>
      <c r="R12" s="319"/>
      <c r="S12" s="319"/>
      <c r="T12" s="319">
        <v>8000</v>
      </c>
      <c r="U12" s="319"/>
      <c r="V12" s="319">
        <v>10000</v>
      </c>
      <c r="W12" s="406"/>
      <c r="X12" s="319">
        <f t="shared" ref="X12:X20" si="4">SUM(K12:V12)</f>
        <v>34000</v>
      </c>
    </row>
    <row r="13" spans="1:24" ht="15.75" customHeight="1">
      <c r="A13" s="129"/>
      <c r="B13" s="129" t="s">
        <v>519</v>
      </c>
      <c r="C13" s="320">
        <v>0</v>
      </c>
      <c r="D13" s="67">
        <v>-259</v>
      </c>
      <c r="E13" s="67"/>
      <c r="F13" s="67"/>
      <c r="G13" s="67">
        <f t="shared" si="0"/>
        <v>0</v>
      </c>
      <c r="H13" s="317"/>
      <c r="I13" s="375"/>
      <c r="J13" s="317"/>
      <c r="K13" s="318"/>
      <c r="L13" s="319"/>
      <c r="M13" s="319"/>
      <c r="N13" s="319"/>
      <c r="O13" s="319"/>
      <c r="P13" s="319"/>
      <c r="Q13" s="319"/>
      <c r="R13" s="319"/>
      <c r="S13" s="319"/>
      <c r="T13" s="319"/>
      <c r="U13" s="319"/>
      <c r="V13" s="319"/>
      <c r="W13" s="406"/>
      <c r="X13" s="319">
        <f t="shared" si="4"/>
        <v>0</v>
      </c>
    </row>
    <row r="14" spans="1:24" ht="15.75" customHeight="1">
      <c r="A14" s="129"/>
      <c r="B14" s="207" t="s">
        <v>520</v>
      </c>
      <c r="C14" s="320">
        <v>0</v>
      </c>
      <c r="D14" s="67">
        <v>0</v>
      </c>
      <c r="E14" s="67">
        <v>0</v>
      </c>
      <c r="F14" s="67">
        <v>0</v>
      </c>
      <c r="G14" s="67">
        <f t="shared" si="0"/>
        <v>0</v>
      </c>
      <c r="H14" s="317"/>
      <c r="I14" s="357" t="s">
        <v>521</v>
      </c>
      <c r="J14" s="317"/>
      <c r="K14" s="318">
        <v>0</v>
      </c>
      <c r="L14" s="319"/>
      <c r="M14" s="319"/>
      <c r="N14" s="319"/>
      <c r="O14" s="319"/>
      <c r="P14" s="319"/>
      <c r="Q14" s="319"/>
      <c r="R14" s="319"/>
      <c r="S14" s="319"/>
      <c r="T14" s="319"/>
      <c r="U14" s="319"/>
      <c r="V14" s="319"/>
      <c r="W14" s="406"/>
      <c r="X14" s="319">
        <f t="shared" si="4"/>
        <v>0</v>
      </c>
    </row>
    <row r="15" spans="1:24" ht="15.75" customHeight="1">
      <c r="A15" s="129"/>
      <c r="B15" s="129" t="s">
        <v>234</v>
      </c>
      <c r="C15" s="320">
        <v>10000</v>
      </c>
      <c r="D15" s="67">
        <v>0</v>
      </c>
      <c r="E15" s="67">
        <v>3000</v>
      </c>
      <c r="F15" s="67">
        <v>6000</v>
      </c>
      <c r="G15" s="67">
        <f t="shared" si="0"/>
        <v>-4000</v>
      </c>
      <c r="H15" s="317"/>
      <c r="I15" s="357" t="s">
        <v>522</v>
      </c>
      <c r="J15" s="317"/>
      <c r="K15" s="318">
        <v>500</v>
      </c>
      <c r="L15" s="319">
        <v>500</v>
      </c>
      <c r="M15" s="319">
        <v>500</v>
      </c>
      <c r="N15" s="319">
        <v>500</v>
      </c>
      <c r="O15" s="319">
        <v>500</v>
      </c>
      <c r="P15" s="319">
        <v>500</v>
      </c>
      <c r="Q15" s="319">
        <v>500</v>
      </c>
      <c r="R15" s="319">
        <v>500</v>
      </c>
      <c r="S15" s="319">
        <v>500</v>
      </c>
      <c r="T15" s="319">
        <v>500</v>
      </c>
      <c r="U15" s="319">
        <v>500</v>
      </c>
      <c r="V15" s="319">
        <v>500</v>
      </c>
      <c r="W15" s="406"/>
      <c r="X15" s="319">
        <f t="shared" si="4"/>
        <v>6000</v>
      </c>
    </row>
    <row r="16" spans="1:24" ht="15.75" customHeight="1">
      <c r="A16" s="129"/>
      <c r="B16" s="129" t="s">
        <v>235</v>
      </c>
      <c r="C16" s="320">
        <v>0</v>
      </c>
      <c r="D16" s="67">
        <v>0</v>
      </c>
      <c r="E16" s="67"/>
      <c r="F16" s="67"/>
      <c r="G16" s="67">
        <f t="shared" si="0"/>
        <v>0</v>
      </c>
      <c r="H16" s="317"/>
      <c r="I16" s="375"/>
      <c r="J16" s="317"/>
      <c r="K16" s="318"/>
      <c r="L16" s="319"/>
      <c r="M16" s="319"/>
      <c r="N16" s="319"/>
      <c r="O16" s="319"/>
      <c r="P16" s="319"/>
      <c r="Q16" s="319"/>
      <c r="R16" s="319"/>
      <c r="S16" s="319"/>
      <c r="T16" s="319"/>
      <c r="U16" s="319"/>
      <c r="V16" s="319"/>
      <c r="W16" s="406"/>
      <c r="X16" s="319">
        <f t="shared" si="4"/>
        <v>0</v>
      </c>
    </row>
    <row r="17" spans="1:24" ht="15.75" customHeight="1">
      <c r="A17" s="129"/>
      <c r="B17" s="129" t="s">
        <v>236</v>
      </c>
      <c r="C17" s="320">
        <v>10000</v>
      </c>
      <c r="D17" s="67">
        <v>0</v>
      </c>
      <c r="E17" s="67">
        <v>5000</v>
      </c>
      <c r="F17" s="67">
        <v>20000</v>
      </c>
      <c r="G17" s="67">
        <f t="shared" si="0"/>
        <v>10000</v>
      </c>
      <c r="H17" s="317"/>
      <c r="I17" s="357" t="s">
        <v>523</v>
      </c>
      <c r="J17" s="317"/>
      <c r="K17" s="318">
        <v>4000</v>
      </c>
      <c r="L17" s="319"/>
      <c r="M17" s="319"/>
      <c r="N17" s="319">
        <v>3000</v>
      </c>
      <c r="O17" s="319"/>
      <c r="P17" s="319">
        <v>3000</v>
      </c>
      <c r="Q17" s="319"/>
      <c r="R17" s="319">
        <v>3000</v>
      </c>
      <c r="S17" s="319"/>
      <c r="T17" s="319">
        <v>3000</v>
      </c>
      <c r="U17" s="319"/>
      <c r="V17" s="319">
        <v>4000</v>
      </c>
      <c r="W17" s="406"/>
      <c r="X17" s="319">
        <f t="shared" si="4"/>
        <v>20000</v>
      </c>
    </row>
    <row r="18" spans="1:24" ht="27" customHeight="1">
      <c r="A18" s="129"/>
      <c r="B18" s="129" t="s">
        <v>237</v>
      </c>
      <c r="C18" s="320">
        <v>15000</v>
      </c>
      <c r="D18" s="67">
        <v>35928.379999999997</v>
      </c>
      <c r="E18" s="67">
        <f>100000-70000</f>
        <v>30000</v>
      </c>
      <c r="F18" s="67">
        <f>150000-100000</f>
        <v>50000</v>
      </c>
      <c r="G18" s="67">
        <f t="shared" si="0"/>
        <v>35000</v>
      </c>
      <c r="H18" s="317"/>
      <c r="I18" s="357" t="s">
        <v>524</v>
      </c>
      <c r="J18" s="317"/>
      <c r="K18" s="318">
        <f>$F$18/4</f>
        <v>12500</v>
      </c>
      <c r="L18" s="318">
        <v>0</v>
      </c>
      <c r="M18" s="318">
        <v>0</v>
      </c>
      <c r="N18" s="318">
        <f>$F$18/4</f>
        <v>12500</v>
      </c>
      <c r="O18" s="318">
        <v>0</v>
      </c>
      <c r="P18" s="318">
        <v>0</v>
      </c>
      <c r="Q18" s="318">
        <f>$F$18/4</f>
        <v>12500</v>
      </c>
      <c r="R18" s="318">
        <v>0</v>
      </c>
      <c r="S18" s="318">
        <v>0</v>
      </c>
      <c r="T18" s="318">
        <f>$F$18/4</f>
        <v>12500</v>
      </c>
      <c r="U18" s="319">
        <v>0</v>
      </c>
      <c r="V18" s="319">
        <v>0</v>
      </c>
      <c r="W18" s="406"/>
      <c r="X18" s="319">
        <f t="shared" si="4"/>
        <v>50000</v>
      </c>
    </row>
    <row r="19" spans="1:24" ht="15.75" customHeight="1">
      <c r="A19" s="129"/>
      <c r="B19" s="129" t="s">
        <v>240</v>
      </c>
      <c r="C19" s="320">
        <v>7500</v>
      </c>
      <c r="D19" s="67">
        <v>3566.93</v>
      </c>
      <c r="E19" s="67">
        <v>30000</v>
      </c>
      <c r="F19" s="67">
        <v>12000</v>
      </c>
      <c r="G19" s="67">
        <f t="shared" si="0"/>
        <v>4500</v>
      </c>
      <c r="H19" s="317"/>
      <c r="I19" s="357" t="s">
        <v>525</v>
      </c>
      <c r="J19" s="317"/>
      <c r="K19" s="318">
        <v>1000</v>
      </c>
      <c r="L19" s="319">
        <v>1000</v>
      </c>
      <c r="M19" s="319">
        <v>1000</v>
      </c>
      <c r="N19" s="319">
        <v>1000</v>
      </c>
      <c r="O19" s="319">
        <v>1000</v>
      </c>
      <c r="P19" s="319">
        <v>1000</v>
      </c>
      <c r="Q19" s="319">
        <v>1000</v>
      </c>
      <c r="R19" s="319">
        <v>1000</v>
      </c>
      <c r="S19" s="319">
        <v>1000</v>
      </c>
      <c r="T19" s="67">
        <v>1000</v>
      </c>
      <c r="U19" s="525">
        <v>1000</v>
      </c>
      <c r="V19" s="525">
        <v>1000</v>
      </c>
      <c r="W19" s="468"/>
      <c r="X19" s="319">
        <f t="shared" si="4"/>
        <v>12000</v>
      </c>
    </row>
    <row r="20" spans="1:24" ht="15.75" customHeight="1">
      <c r="A20" s="132"/>
      <c r="B20" s="132" t="s">
        <v>526</v>
      </c>
      <c r="C20" s="166">
        <v>0</v>
      </c>
      <c r="D20" s="210">
        <v>287.11</v>
      </c>
      <c r="E20" s="166">
        <v>300</v>
      </c>
      <c r="F20" s="166">
        <v>1000</v>
      </c>
      <c r="G20" s="166">
        <f t="shared" si="0"/>
        <v>1000</v>
      </c>
      <c r="H20" s="508"/>
      <c r="I20" s="526" t="s">
        <v>527</v>
      </c>
      <c r="J20" s="508"/>
      <c r="K20" s="527">
        <v>250</v>
      </c>
      <c r="L20" s="527"/>
      <c r="M20" s="527"/>
      <c r="N20" s="527">
        <v>250</v>
      </c>
      <c r="O20" s="527"/>
      <c r="P20" s="527"/>
      <c r="Q20" s="527"/>
      <c r="R20" s="527">
        <v>250</v>
      </c>
      <c r="S20" s="527"/>
      <c r="T20" s="527">
        <v>250</v>
      </c>
      <c r="U20" s="528"/>
      <c r="V20" s="529"/>
      <c r="W20" s="530"/>
      <c r="X20" s="319">
        <f t="shared" si="4"/>
        <v>1000</v>
      </c>
    </row>
    <row r="21" spans="1:24" ht="15.75" customHeight="1">
      <c r="A21" s="128" t="s">
        <v>528</v>
      </c>
      <c r="B21" s="128"/>
      <c r="C21" s="384">
        <f t="shared" ref="C21:F21" si="5">C10+C11</f>
        <v>82500</v>
      </c>
      <c r="D21" s="531">
        <f t="shared" si="5"/>
        <v>51740.42</v>
      </c>
      <c r="E21" s="531">
        <f t="shared" si="5"/>
        <v>83300</v>
      </c>
      <c r="F21" s="531">
        <f t="shared" si="5"/>
        <v>133000</v>
      </c>
      <c r="G21" s="532">
        <f t="shared" si="0"/>
        <v>50500</v>
      </c>
      <c r="H21" s="533"/>
      <c r="I21" s="531"/>
      <c r="J21" s="533"/>
      <c r="K21" s="534">
        <f t="shared" ref="K21:L21" si="6">K10+K11+K9</f>
        <v>23250</v>
      </c>
      <c r="L21" s="534">
        <f t="shared" si="6"/>
        <v>1500</v>
      </c>
      <c r="M21" s="534">
        <f t="shared" ref="M21:V21" si="7">M10+M11</f>
        <v>1500</v>
      </c>
      <c r="N21" s="534">
        <f t="shared" si="7"/>
        <v>25250</v>
      </c>
      <c r="O21" s="534">
        <f t="shared" si="7"/>
        <v>1500</v>
      </c>
      <c r="P21" s="534">
        <f t="shared" si="7"/>
        <v>17500</v>
      </c>
      <c r="Q21" s="534">
        <f t="shared" si="7"/>
        <v>14000</v>
      </c>
      <c r="R21" s="534">
        <f t="shared" si="7"/>
        <v>4750</v>
      </c>
      <c r="S21" s="534">
        <f t="shared" si="7"/>
        <v>1500</v>
      </c>
      <c r="T21" s="534">
        <f t="shared" si="7"/>
        <v>25250</v>
      </c>
      <c r="U21" s="535">
        <f t="shared" si="7"/>
        <v>1500</v>
      </c>
      <c r="V21" s="535">
        <f t="shared" si="7"/>
        <v>15500</v>
      </c>
      <c r="W21" s="536"/>
      <c r="X21" s="534">
        <f>X10+X11</f>
        <v>133000</v>
      </c>
    </row>
    <row r="22" spans="1:24" ht="15.75" customHeight="1">
      <c r="A22" s="129"/>
      <c r="B22" s="129"/>
      <c r="C22" s="292"/>
      <c r="D22" s="196"/>
      <c r="E22" s="196"/>
      <c r="F22" s="196"/>
      <c r="G22" s="196"/>
      <c r="H22" s="196"/>
      <c r="I22" s="196"/>
      <c r="J22" s="196"/>
      <c r="K22" s="196"/>
      <c r="L22" s="196"/>
      <c r="M22" s="196"/>
      <c r="N22" s="196"/>
      <c r="O22" s="196"/>
      <c r="P22" s="196"/>
      <c r="Q22" s="196"/>
      <c r="R22" s="196"/>
      <c r="S22" s="196"/>
      <c r="T22" s="196"/>
      <c r="U22" s="196"/>
      <c r="V22" s="196"/>
      <c r="W22" s="196"/>
      <c r="X22" s="196"/>
    </row>
    <row r="23" spans="1:24" ht="15.75" hidden="1" customHeight="1">
      <c r="A23" s="276" t="s">
        <v>291</v>
      </c>
      <c r="B23" s="129"/>
      <c r="C23" s="292"/>
      <c r="D23" s="277"/>
      <c r="E23" s="277"/>
      <c r="F23" s="277"/>
      <c r="G23" s="277"/>
      <c r="H23" s="277"/>
      <c r="I23" s="277"/>
      <c r="J23" s="277"/>
      <c r="K23" s="278">
        <f>K5-K21</f>
        <v>-23250</v>
      </c>
      <c r="L23" s="278"/>
      <c r="M23" s="278">
        <f>M5-M21</f>
        <v>-1500</v>
      </c>
      <c r="N23" s="278"/>
      <c r="O23" s="278">
        <f>O5-O21</f>
        <v>-1500</v>
      </c>
      <c r="P23" s="278"/>
      <c r="Q23" s="278">
        <f>Q5-Q21</f>
        <v>-14000</v>
      </c>
      <c r="R23" s="278"/>
      <c r="S23" s="278">
        <f>S5-S21</f>
        <v>-1500</v>
      </c>
      <c r="T23" s="278"/>
      <c r="U23" s="278">
        <f>U5-U21</f>
        <v>-1500</v>
      </c>
      <c r="V23" s="278"/>
      <c r="W23" s="278">
        <f t="shared" ref="W23:X23" si="8">W5-W21</f>
        <v>0</v>
      </c>
      <c r="X23" s="278">
        <f t="shared" si="8"/>
        <v>-133000</v>
      </c>
    </row>
    <row r="24" spans="1:24" ht="15.75" hidden="1" customHeight="1">
      <c r="A24" s="128"/>
      <c r="B24" s="129"/>
      <c r="C24" s="292"/>
      <c r="D24" s="129"/>
      <c r="E24" s="129"/>
      <c r="F24" s="129"/>
      <c r="G24" s="129"/>
      <c r="H24" s="129"/>
      <c r="I24" s="129"/>
      <c r="J24" s="129"/>
      <c r="K24" s="129"/>
      <c r="L24" s="129"/>
      <c r="M24" s="129"/>
      <c r="N24" s="129"/>
      <c r="O24" s="129"/>
      <c r="P24" s="129"/>
      <c r="Q24" s="129"/>
      <c r="R24" s="129"/>
      <c r="S24" s="129"/>
      <c r="T24" s="129"/>
      <c r="U24" s="129"/>
      <c r="V24" s="129"/>
      <c r="W24" s="129"/>
      <c r="X24" s="129"/>
    </row>
    <row r="25" spans="1:24" ht="15.75" hidden="1" customHeight="1">
      <c r="C25" s="328"/>
      <c r="D25" s="289"/>
      <c r="E25" s="289"/>
      <c r="F25" s="289"/>
      <c r="G25" s="289"/>
      <c r="H25" s="289"/>
      <c r="I25" s="289"/>
      <c r="J25" s="289"/>
      <c r="K25" s="289"/>
      <c r="L25" s="289"/>
      <c r="M25" s="289"/>
      <c r="N25" s="289"/>
      <c r="O25" s="289"/>
      <c r="P25" s="289"/>
      <c r="Q25" s="289"/>
      <c r="R25" s="289"/>
      <c r="S25" s="289"/>
      <c r="T25" s="289"/>
      <c r="U25" s="289"/>
      <c r="V25" s="289"/>
      <c r="W25" s="289"/>
      <c r="X25" s="289"/>
    </row>
    <row r="26" spans="1:24" ht="15.75" hidden="1" customHeight="1">
      <c r="C26" s="328"/>
      <c r="D26" s="289"/>
      <c r="E26" s="289"/>
      <c r="F26" s="289"/>
      <c r="G26" s="289"/>
      <c r="H26" s="289"/>
      <c r="I26" s="289"/>
      <c r="J26" s="289"/>
      <c r="K26" s="289"/>
      <c r="L26" s="289"/>
      <c r="M26" s="289"/>
      <c r="N26" s="289"/>
      <c r="O26" s="289"/>
      <c r="P26" s="289"/>
      <c r="Q26" s="289"/>
      <c r="R26" s="289"/>
      <c r="S26" s="289"/>
      <c r="T26" s="289"/>
      <c r="U26" s="289"/>
      <c r="V26" s="289"/>
      <c r="W26" s="289"/>
      <c r="X26" s="289"/>
    </row>
    <row r="27" spans="1:24" ht="15.75" hidden="1" customHeight="1">
      <c r="C27" s="328"/>
      <c r="D27" s="289"/>
      <c r="E27" s="289"/>
      <c r="F27" s="289"/>
      <c r="G27" s="289"/>
      <c r="H27" s="289"/>
      <c r="I27" s="289"/>
      <c r="J27" s="289"/>
      <c r="K27" s="289"/>
      <c r="L27" s="289"/>
      <c r="M27" s="289"/>
      <c r="N27" s="289"/>
      <c r="O27" s="289"/>
      <c r="P27" s="289"/>
      <c r="Q27" s="289"/>
      <c r="R27" s="289"/>
      <c r="S27" s="289"/>
      <c r="T27" s="289"/>
      <c r="U27" s="289"/>
      <c r="V27" s="289"/>
      <c r="W27" s="289"/>
      <c r="X27" s="289"/>
    </row>
    <row r="28" spans="1:24" ht="15.75" hidden="1" customHeight="1">
      <c r="C28" s="328"/>
      <c r="D28" s="289"/>
      <c r="E28" s="289"/>
      <c r="F28" s="289"/>
      <c r="G28" s="289"/>
      <c r="H28" s="289"/>
      <c r="I28" s="289"/>
      <c r="J28" s="289"/>
      <c r="K28" s="289"/>
      <c r="L28" s="289"/>
      <c r="M28" s="289"/>
      <c r="N28" s="289"/>
      <c r="O28" s="289"/>
      <c r="P28" s="289"/>
      <c r="Q28" s="289"/>
      <c r="R28" s="289"/>
      <c r="S28" s="289"/>
      <c r="T28" s="289"/>
      <c r="U28" s="289"/>
      <c r="V28" s="289"/>
      <c r="W28" s="289"/>
      <c r="X28" s="289"/>
    </row>
    <row r="29" spans="1:24" ht="15.75" hidden="1" customHeight="1">
      <c r="C29" s="328"/>
      <c r="D29" s="289"/>
      <c r="E29" s="289"/>
      <c r="F29" s="289"/>
      <c r="G29" s="289"/>
      <c r="H29" s="289"/>
      <c r="I29" s="289"/>
      <c r="J29" s="289"/>
      <c r="K29" s="289"/>
      <c r="L29" s="289"/>
      <c r="M29" s="289"/>
      <c r="N29" s="289"/>
      <c r="O29" s="289"/>
      <c r="P29" s="289"/>
      <c r="Q29" s="289"/>
      <c r="R29" s="289"/>
      <c r="S29" s="289"/>
      <c r="T29" s="289"/>
      <c r="U29" s="289"/>
      <c r="V29" s="289"/>
      <c r="W29" s="289"/>
      <c r="X29" s="289"/>
    </row>
    <row r="30" spans="1:24" ht="15.75" hidden="1" customHeight="1">
      <c r="C30" s="328"/>
      <c r="D30" s="289"/>
      <c r="E30" s="289"/>
      <c r="F30" s="289"/>
      <c r="G30" s="289"/>
      <c r="H30" s="289"/>
      <c r="I30" s="289"/>
      <c r="J30" s="289"/>
      <c r="K30" s="289"/>
      <c r="L30" s="289"/>
      <c r="M30" s="289"/>
      <c r="N30" s="289"/>
      <c r="O30" s="289"/>
      <c r="P30" s="289"/>
      <c r="Q30" s="289"/>
      <c r="R30" s="289"/>
      <c r="S30" s="289"/>
      <c r="T30" s="289"/>
      <c r="U30" s="289"/>
      <c r="V30" s="289"/>
      <c r="W30" s="289"/>
      <c r="X30" s="289"/>
    </row>
    <row r="31" spans="1:24" ht="15.75" hidden="1" customHeight="1">
      <c r="C31" s="328"/>
      <c r="D31" s="289"/>
      <c r="E31" s="289"/>
      <c r="F31" s="289"/>
      <c r="G31" s="289"/>
      <c r="H31" s="289"/>
      <c r="I31" s="289"/>
      <c r="J31" s="289"/>
      <c r="K31" s="289"/>
      <c r="L31" s="289"/>
      <c r="M31" s="289"/>
      <c r="N31" s="289"/>
      <c r="O31" s="289"/>
      <c r="P31" s="289"/>
      <c r="Q31" s="289"/>
      <c r="R31" s="289"/>
      <c r="S31" s="289"/>
      <c r="T31" s="289"/>
      <c r="U31" s="289"/>
      <c r="V31" s="289"/>
      <c r="W31" s="289"/>
      <c r="X31" s="289"/>
    </row>
    <row r="32" spans="1:24" ht="15.75" hidden="1" customHeight="1">
      <c r="C32" s="328"/>
      <c r="D32" s="289"/>
      <c r="E32" s="289"/>
      <c r="F32" s="289"/>
      <c r="G32" s="289"/>
      <c r="H32" s="289"/>
      <c r="I32" s="289"/>
      <c r="J32" s="289"/>
      <c r="K32" s="289"/>
      <c r="L32" s="289"/>
      <c r="M32" s="289"/>
      <c r="N32" s="289"/>
      <c r="O32" s="289"/>
      <c r="P32" s="289"/>
      <c r="Q32" s="289"/>
      <c r="R32" s="289"/>
      <c r="S32" s="289"/>
      <c r="T32" s="289"/>
      <c r="U32" s="289"/>
      <c r="V32" s="289"/>
      <c r="W32" s="289"/>
      <c r="X32" s="289"/>
    </row>
    <row r="33" spans="2:24" ht="15.75" customHeight="1">
      <c r="C33" s="328"/>
      <c r="D33" s="289"/>
      <c r="E33" s="289"/>
      <c r="F33" s="289"/>
      <c r="G33" s="289"/>
      <c r="H33" s="289"/>
      <c r="I33" s="289"/>
      <c r="J33" s="289"/>
      <c r="K33" s="289"/>
      <c r="L33" s="289"/>
      <c r="M33" s="289"/>
      <c r="N33" s="289"/>
      <c r="O33" s="289"/>
      <c r="P33" s="289"/>
      <c r="Q33" s="289"/>
      <c r="R33" s="289"/>
      <c r="S33" s="289"/>
      <c r="T33" s="289"/>
      <c r="U33" s="289"/>
      <c r="V33" s="289"/>
      <c r="W33" s="289"/>
      <c r="X33" s="289"/>
    </row>
    <row r="34" spans="2:24" ht="15.75" customHeight="1">
      <c r="C34" s="328"/>
      <c r="D34" s="289"/>
      <c r="E34" s="289"/>
      <c r="F34" s="289"/>
      <c r="G34" s="289"/>
      <c r="H34" s="289"/>
      <c r="I34" s="289"/>
      <c r="J34" s="289"/>
      <c r="K34" s="289"/>
      <c r="L34" s="289"/>
      <c r="M34" s="289"/>
      <c r="N34" s="289"/>
      <c r="O34" s="289"/>
      <c r="P34" s="289"/>
      <c r="Q34" s="289"/>
      <c r="R34" s="289"/>
      <c r="S34" s="289"/>
      <c r="T34" s="289"/>
      <c r="U34" s="289"/>
      <c r="V34" s="289"/>
      <c r="W34" s="289"/>
      <c r="X34" s="289"/>
    </row>
    <row r="35" spans="2:24" ht="15.75" customHeight="1">
      <c r="B35" s="519" t="s">
        <v>510</v>
      </c>
      <c r="C35" s="328"/>
      <c r="D35" s="289"/>
      <c r="E35" s="289"/>
      <c r="F35" s="289"/>
      <c r="G35" s="289"/>
      <c r="H35" s="289"/>
      <c r="I35" s="289"/>
      <c r="J35" s="289"/>
      <c r="K35" s="289"/>
      <c r="L35" s="289"/>
      <c r="M35" s="289"/>
      <c r="N35" s="289"/>
      <c r="O35" s="289"/>
      <c r="P35" s="289"/>
      <c r="Q35" s="289"/>
      <c r="R35" s="289"/>
      <c r="S35" s="289"/>
      <c r="T35" s="289"/>
      <c r="U35" s="289"/>
      <c r="V35" s="289"/>
      <c r="W35" s="289"/>
      <c r="X35" s="289"/>
    </row>
    <row r="36" spans="2:24" ht="15.75" customHeight="1">
      <c r="B36" s="428" t="s">
        <v>529</v>
      </c>
      <c r="C36" s="328"/>
      <c r="D36" s="520"/>
      <c r="E36" s="520"/>
      <c r="F36" s="520"/>
      <c r="G36" s="520"/>
      <c r="H36" s="520"/>
      <c r="I36" s="520"/>
      <c r="J36" s="520"/>
      <c r="K36" s="520"/>
      <c r="L36" s="520">
        <v>3787</v>
      </c>
      <c r="M36" s="520"/>
      <c r="N36" s="520">
        <v>20310</v>
      </c>
      <c r="O36" s="520"/>
      <c r="P36" s="520"/>
      <c r="Q36" s="520"/>
      <c r="R36" s="520"/>
      <c r="S36" s="520"/>
      <c r="T36" s="520"/>
      <c r="U36" s="520"/>
      <c r="V36" s="520"/>
      <c r="W36" s="520"/>
      <c r="X36" s="520"/>
    </row>
    <row r="37" spans="2:24" ht="15.75" customHeight="1">
      <c r="C37" s="328"/>
      <c r="D37" s="520"/>
      <c r="E37" s="520"/>
      <c r="F37" s="520"/>
      <c r="G37" s="520"/>
      <c r="H37" s="520"/>
      <c r="I37" s="520"/>
      <c r="J37" s="520"/>
      <c r="K37" s="520"/>
      <c r="L37" s="520"/>
      <c r="M37" s="520"/>
      <c r="N37" s="520"/>
      <c r="O37" s="520"/>
      <c r="P37" s="520"/>
      <c r="Q37" s="520"/>
      <c r="R37" s="520"/>
      <c r="S37" s="520"/>
      <c r="T37" s="520"/>
      <c r="U37" s="520"/>
      <c r="V37" s="520"/>
      <c r="W37" s="520"/>
      <c r="X37" s="520"/>
    </row>
    <row r="38" spans="2:24" ht="15.75" customHeight="1">
      <c r="C38" s="328"/>
      <c r="D38" s="520"/>
      <c r="E38" s="520"/>
      <c r="F38" s="520"/>
      <c r="G38" s="520"/>
      <c r="H38" s="520"/>
      <c r="I38" s="520"/>
      <c r="J38" s="520"/>
      <c r="K38" s="520"/>
      <c r="L38" s="520"/>
      <c r="M38" s="520"/>
      <c r="N38" s="520"/>
      <c r="O38" s="520"/>
      <c r="P38" s="520"/>
      <c r="Q38" s="520"/>
      <c r="R38" s="520"/>
      <c r="S38" s="520"/>
      <c r="T38" s="520"/>
      <c r="U38" s="520"/>
      <c r="V38" s="520"/>
      <c r="W38" s="520"/>
      <c r="X38" s="520"/>
    </row>
    <row r="39" spans="2:24" ht="15.75" customHeight="1">
      <c r="C39" s="328"/>
      <c r="D39" s="520"/>
      <c r="E39" s="520"/>
      <c r="F39" s="520"/>
      <c r="G39" s="520"/>
      <c r="H39" s="520"/>
      <c r="I39" s="520"/>
      <c r="J39" s="520"/>
      <c r="K39" s="520"/>
      <c r="L39" s="520"/>
      <c r="M39" s="520"/>
      <c r="N39" s="520"/>
      <c r="O39" s="520"/>
      <c r="P39" s="520"/>
      <c r="Q39" s="520"/>
      <c r="R39" s="520"/>
      <c r="S39" s="520"/>
      <c r="T39" s="520"/>
      <c r="U39" s="520"/>
      <c r="V39" s="520"/>
      <c r="W39" s="520"/>
      <c r="X39" s="520"/>
    </row>
    <row r="40" spans="2:24" ht="15.75" customHeight="1">
      <c r="C40" s="328"/>
      <c r="D40" s="520"/>
      <c r="E40" s="520"/>
      <c r="F40" s="520"/>
      <c r="G40" s="520"/>
      <c r="H40" s="520"/>
      <c r="I40" s="520"/>
      <c r="J40" s="520"/>
      <c r="K40" s="520"/>
      <c r="L40" s="520"/>
      <c r="M40" s="520"/>
      <c r="N40" s="520"/>
      <c r="O40" s="520"/>
      <c r="P40" s="520"/>
      <c r="Q40" s="520"/>
      <c r="R40" s="520"/>
      <c r="S40" s="520"/>
      <c r="T40" s="520"/>
      <c r="U40" s="520"/>
      <c r="V40" s="520"/>
      <c r="W40" s="520"/>
      <c r="X40" s="520"/>
    </row>
    <row r="41" spans="2:24" ht="15.75"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2:24" ht="15.75"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2:24" ht="15.75"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2:24" ht="15.75"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2:24" ht="15.75"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2:24" ht="15.75"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2:24" ht="15.75"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2: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3:24" ht="15.75" customHeight="1">
      <c r="C219" s="328"/>
      <c r="D219" s="289"/>
      <c r="E219" s="289"/>
      <c r="F219" s="289"/>
      <c r="G219" s="289"/>
      <c r="H219" s="289"/>
      <c r="I219" s="289"/>
      <c r="J219" s="289"/>
      <c r="K219" s="289"/>
      <c r="L219" s="289"/>
      <c r="M219" s="289"/>
      <c r="N219" s="289"/>
      <c r="O219" s="289"/>
      <c r="P219" s="289"/>
      <c r="Q219" s="289"/>
      <c r="R219" s="289"/>
      <c r="S219" s="289"/>
      <c r="T219" s="289"/>
      <c r="U219" s="289"/>
      <c r="V219" s="289"/>
      <c r="W219" s="289"/>
      <c r="X219" s="289"/>
    </row>
    <row r="220" spans="3:24" ht="15.75" customHeight="1">
      <c r="C220" s="328"/>
      <c r="D220" s="289"/>
      <c r="E220" s="289"/>
      <c r="F220" s="289"/>
      <c r="G220" s="289"/>
      <c r="H220" s="289"/>
      <c r="I220" s="289"/>
      <c r="J220" s="289"/>
      <c r="K220" s="289"/>
      <c r="L220" s="289"/>
      <c r="M220" s="289"/>
      <c r="N220" s="289"/>
      <c r="O220" s="289"/>
      <c r="P220" s="289"/>
      <c r="Q220" s="289"/>
      <c r="R220" s="289"/>
      <c r="S220" s="289"/>
      <c r="T220" s="289"/>
      <c r="U220" s="289"/>
      <c r="V220" s="289"/>
      <c r="W220" s="289"/>
      <c r="X220" s="289"/>
    </row>
    <row r="221" spans="3:24" ht="15.75" customHeight="1">
      <c r="C221" s="328"/>
      <c r="D221" s="289"/>
      <c r="E221" s="289"/>
      <c r="F221" s="289"/>
      <c r="G221" s="289"/>
      <c r="H221" s="289"/>
      <c r="I221" s="289"/>
      <c r="J221" s="289"/>
      <c r="K221" s="289"/>
      <c r="L221" s="289"/>
      <c r="M221" s="289"/>
      <c r="N221" s="289"/>
      <c r="O221" s="289"/>
      <c r="P221" s="289"/>
      <c r="Q221" s="289"/>
      <c r="R221" s="289"/>
      <c r="S221" s="289"/>
      <c r="T221" s="289"/>
      <c r="U221" s="289"/>
      <c r="V221" s="289"/>
      <c r="W221" s="289"/>
      <c r="X221" s="289"/>
    </row>
    <row r="222" spans="3:24" ht="15.75" customHeight="1">
      <c r="C222" s="328"/>
      <c r="D222" s="289"/>
      <c r="E222" s="289"/>
      <c r="F222" s="289"/>
      <c r="G222" s="289"/>
      <c r="H222" s="289"/>
      <c r="I222" s="289"/>
      <c r="J222" s="289"/>
      <c r="K222" s="289"/>
      <c r="L222" s="289"/>
      <c r="M222" s="289"/>
      <c r="N222" s="289"/>
      <c r="O222" s="289"/>
      <c r="P222" s="289"/>
      <c r="Q222" s="289"/>
      <c r="R222" s="289"/>
      <c r="S222" s="289"/>
      <c r="T222" s="289"/>
      <c r="U222" s="289"/>
      <c r="V222" s="289"/>
      <c r="W222" s="289"/>
      <c r="X222" s="289"/>
    </row>
    <row r="223" spans="3:24" ht="15.75" customHeight="1">
      <c r="C223" s="328"/>
      <c r="D223" s="289"/>
      <c r="E223" s="289"/>
      <c r="F223" s="289"/>
      <c r="G223" s="289"/>
      <c r="H223" s="289"/>
      <c r="I223" s="289"/>
      <c r="J223" s="289"/>
      <c r="K223" s="289"/>
      <c r="L223" s="289"/>
      <c r="M223" s="289"/>
      <c r="N223" s="289"/>
      <c r="O223" s="289"/>
      <c r="P223" s="289"/>
      <c r="Q223" s="289"/>
      <c r="R223" s="289"/>
      <c r="S223" s="289"/>
      <c r="T223" s="289"/>
      <c r="U223" s="289"/>
      <c r="V223" s="289"/>
      <c r="W223" s="289"/>
      <c r="X223" s="289"/>
    </row>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ageMargins left="0.7" right="0.7" top="0.75" bottom="0.75" header="0" footer="0"/>
  <pageSetup orientation="landscape"/>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X998"/>
  <sheetViews>
    <sheetView workbookViewId="0"/>
  </sheetViews>
  <sheetFormatPr defaultColWidth="12.5703125" defaultRowHeight="15" customHeight="1"/>
  <cols>
    <col min="1" max="1" width="4" customWidth="1"/>
    <col min="2" max="2" width="28.42578125" customWidth="1"/>
    <col min="3" max="3" width="13.42578125" customWidth="1"/>
    <col min="4" max="4" width="12.5703125" customWidth="1"/>
    <col min="5" max="5" width="12.140625" customWidth="1"/>
    <col min="6" max="6" width="10.42578125" customWidth="1"/>
    <col min="7" max="7" width="12.85546875" customWidth="1"/>
    <col min="8" max="8" width="2" customWidth="1"/>
    <col min="9" max="9" width="57.7109375" customWidth="1"/>
    <col min="10" max="10" width="2.425781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 customWidth="1"/>
    <col min="24" max="24" width="11.42578125" customWidth="1"/>
  </cols>
  <sheetData>
    <row r="1" spans="1:24" ht="15.75" customHeight="1">
      <c r="A1" s="128" t="s">
        <v>122</v>
      </c>
      <c r="B1" s="129"/>
      <c r="C1" s="292"/>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530</v>
      </c>
      <c r="B2" s="129"/>
      <c r="C2" s="292"/>
      <c r="D2" s="129"/>
      <c r="E2" s="129"/>
      <c r="F2" s="129"/>
      <c r="G2" s="129"/>
      <c r="H2" s="129"/>
      <c r="I2" s="129"/>
      <c r="J2" s="129"/>
      <c r="K2" s="129"/>
      <c r="L2" s="129"/>
      <c r="M2" s="129"/>
      <c r="N2" s="129"/>
      <c r="O2" s="129"/>
      <c r="P2" s="129"/>
      <c r="Q2" s="129"/>
      <c r="R2" s="129"/>
      <c r="S2" s="129"/>
      <c r="T2" s="129"/>
      <c r="U2" s="129"/>
      <c r="V2" s="129"/>
      <c r="W2" s="129"/>
      <c r="X2" s="129"/>
    </row>
    <row r="3" spans="1:24" ht="15.75" customHeight="1">
      <c r="A3" s="293"/>
      <c r="B3" s="294"/>
      <c r="C3" s="292"/>
      <c r="D3" s="129"/>
      <c r="E3" s="129"/>
      <c r="F3" s="129"/>
      <c r="G3" s="129"/>
      <c r="H3" s="129"/>
      <c r="I3" s="129"/>
      <c r="J3" s="129"/>
      <c r="K3" s="129"/>
      <c r="L3" s="129"/>
      <c r="M3" s="129"/>
      <c r="N3" s="129"/>
      <c r="O3" s="129"/>
      <c r="P3" s="129"/>
      <c r="Q3" s="129"/>
      <c r="R3" s="135"/>
      <c r="S3" s="135"/>
      <c r="T3" s="129"/>
      <c r="U3" s="129"/>
      <c r="V3" s="129"/>
      <c r="W3" s="129"/>
      <c r="X3" s="129"/>
    </row>
    <row r="4" spans="1:24" ht="39.75"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128" t="s">
        <v>153</v>
      </c>
      <c r="B5" s="128"/>
      <c r="C5" s="335">
        <v>0</v>
      </c>
      <c r="D5" s="336"/>
      <c r="E5" s="336"/>
      <c r="F5" s="336"/>
      <c r="G5" s="336"/>
      <c r="H5" s="337"/>
      <c r="I5" s="336"/>
      <c r="J5" s="337"/>
      <c r="K5" s="339"/>
      <c r="L5" s="339"/>
      <c r="M5" s="339"/>
      <c r="N5" s="339"/>
      <c r="O5" s="339"/>
      <c r="P5" s="339"/>
      <c r="Q5" s="339"/>
      <c r="R5" s="339"/>
      <c r="S5" s="339"/>
      <c r="T5" s="339"/>
      <c r="U5" s="339"/>
      <c r="V5" s="339"/>
      <c r="W5" s="389"/>
      <c r="X5" s="339">
        <v>0</v>
      </c>
    </row>
    <row r="6" spans="1:24" ht="15.75" customHeight="1">
      <c r="A6" s="128"/>
      <c r="B6" s="129"/>
      <c r="C6" s="292"/>
      <c r="D6" s="135"/>
      <c r="E6" s="135"/>
      <c r="F6" s="135"/>
      <c r="G6" s="135"/>
      <c r="H6" s="135"/>
      <c r="I6" s="135"/>
      <c r="J6" s="135"/>
      <c r="K6" s="135"/>
      <c r="L6" s="135"/>
      <c r="M6" s="135"/>
      <c r="N6" s="135"/>
      <c r="O6" s="135"/>
      <c r="P6" s="135"/>
      <c r="Q6" s="135"/>
      <c r="R6" s="135"/>
      <c r="S6" s="135"/>
      <c r="T6" s="135"/>
      <c r="U6" s="135"/>
      <c r="V6" s="135"/>
      <c r="W6" s="135"/>
      <c r="X6" s="135"/>
    </row>
    <row r="7" spans="1:24" ht="36.75" customHeight="1">
      <c r="A7" s="128" t="s">
        <v>154</v>
      </c>
      <c r="B7" s="129"/>
      <c r="C7" s="137"/>
      <c r="D7" s="140"/>
      <c r="E7" s="140"/>
      <c r="F7" s="140"/>
      <c r="G7" s="140"/>
      <c r="H7" s="295"/>
      <c r="I7" s="295"/>
      <c r="J7" s="295"/>
      <c r="K7" s="295"/>
      <c r="L7" s="295"/>
      <c r="M7" s="295"/>
      <c r="N7" s="295"/>
      <c r="O7" s="295"/>
      <c r="P7" s="295"/>
      <c r="Q7" s="295"/>
      <c r="R7" s="295"/>
      <c r="S7" s="295"/>
      <c r="T7" s="295"/>
      <c r="U7" s="295"/>
      <c r="V7" s="295"/>
      <c r="W7" s="295"/>
      <c r="X7" s="295"/>
    </row>
    <row r="8" spans="1:24" ht="15.75" customHeight="1">
      <c r="A8" s="128"/>
      <c r="B8" s="12" t="s">
        <v>478</v>
      </c>
      <c r="C8" s="12"/>
      <c r="D8" s="311"/>
      <c r="E8" s="311"/>
      <c r="F8" s="311"/>
      <c r="G8" s="311"/>
      <c r="H8" s="219"/>
      <c r="I8" s="311"/>
      <c r="J8" s="219"/>
      <c r="K8" s="365"/>
      <c r="L8" s="365"/>
      <c r="M8" s="365"/>
      <c r="N8" s="365"/>
      <c r="O8" s="365"/>
      <c r="P8" s="365"/>
      <c r="Q8" s="365"/>
      <c r="R8" s="365"/>
      <c r="S8" s="365"/>
      <c r="T8" s="365"/>
      <c r="U8" s="365"/>
      <c r="V8" s="365"/>
      <c r="W8" s="402"/>
      <c r="X8" s="365"/>
    </row>
    <row r="9" spans="1:24" ht="25.5" customHeight="1">
      <c r="A9" s="129"/>
      <c r="B9" s="129" t="s">
        <v>243</v>
      </c>
      <c r="C9" s="320">
        <f>5000+5000</f>
        <v>10000</v>
      </c>
      <c r="D9" s="67">
        <v>6400.5599999999995</v>
      </c>
      <c r="E9" s="67">
        <v>2500</v>
      </c>
      <c r="F9" s="67">
        <v>12000</v>
      </c>
      <c r="G9" s="67">
        <f t="shared" ref="G9:G12" si="0">F9-C9</f>
        <v>2000</v>
      </c>
      <c r="H9" s="317"/>
      <c r="I9" s="427" t="s">
        <v>531</v>
      </c>
      <c r="J9" s="317"/>
      <c r="K9" s="318">
        <v>900</v>
      </c>
      <c r="L9" s="319">
        <v>1000</v>
      </c>
      <c r="M9" s="319">
        <v>900</v>
      </c>
      <c r="N9" s="319">
        <v>1200</v>
      </c>
      <c r="O9" s="319">
        <v>900</v>
      </c>
      <c r="P9" s="319">
        <v>1000</v>
      </c>
      <c r="Q9" s="319">
        <v>1000</v>
      </c>
      <c r="R9" s="319">
        <v>1200</v>
      </c>
      <c r="S9" s="319">
        <v>1200</v>
      </c>
      <c r="T9" s="319">
        <v>900</v>
      </c>
      <c r="U9" s="319">
        <v>900</v>
      </c>
      <c r="V9" s="319">
        <v>900</v>
      </c>
      <c r="W9" s="406"/>
      <c r="X9" s="319">
        <f t="shared" ref="X9:X11" si="1">SUM(K9:V9)</f>
        <v>12000</v>
      </c>
    </row>
    <row r="10" spans="1:24" ht="26.25" customHeight="1">
      <c r="A10" s="129"/>
      <c r="B10" s="129" t="s">
        <v>532</v>
      </c>
      <c r="C10" s="320">
        <v>0</v>
      </c>
      <c r="D10" s="67">
        <v>1035.3499999999999</v>
      </c>
      <c r="E10" s="67">
        <v>1000</v>
      </c>
      <c r="F10" s="67">
        <v>4000</v>
      </c>
      <c r="G10" s="67">
        <f t="shared" si="0"/>
        <v>4000</v>
      </c>
      <c r="H10" s="317"/>
      <c r="I10" s="537" t="s">
        <v>533</v>
      </c>
      <c r="J10" s="317"/>
      <c r="K10" s="318">
        <f t="shared" ref="K10:V10" si="2">$F$10/12</f>
        <v>333.33333333333331</v>
      </c>
      <c r="L10" s="318">
        <f t="shared" si="2"/>
        <v>333.33333333333331</v>
      </c>
      <c r="M10" s="318">
        <f t="shared" si="2"/>
        <v>333.33333333333331</v>
      </c>
      <c r="N10" s="318">
        <f t="shared" si="2"/>
        <v>333.33333333333331</v>
      </c>
      <c r="O10" s="318">
        <f t="shared" si="2"/>
        <v>333.33333333333331</v>
      </c>
      <c r="P10" s="318">
        <f t="shared" si="2"/>
        <v>333.33333333333331</v>
      </c>
      <c r="Q10" s="318">
        <f t="shared" si="2"/>
        <v>333.33333333333331</v>
      </c>
      <c r="R10" s="318">
        <f t="shared" si="2"/>
        <v>333.33333333333331</v>
      </c>
      <c r="S10" s="318">
        <f t="shared" si="2"/>
        <v>333.33333333333331</v>
      </c>
      <c r="T10" s="318">
        <f t="shared" si="2"/>
        <v>333.33333333333331</v>
      </c>
      <c r="U10" s="318">
        <f t="shared" si="2"/>
        <v>333.33333333333331</v>
      </c>
      <c r="V10" s="318">
        <f t="shared" si="2"/>
        <v>333.33333333333331</v>
      </c>
      <c r="W10" s="406"/>
      <c r="X10" s="319">
        <f t="shared" si="1"/>
        <v>4000.0000000000005</v>
      </c>
    </row>
    <row r="11" spans="1:24" ht="15.75" customHeight="1">
      <c r="A11" s="129"/>
      <c r="B11" s="129" t="s">
        <v>244</v>
      </c>
      <c r="C11" s="320">
        <v>2000</v>
      </c>
      <c r="D11" s="67">
        <v>0</v>
      </c>
      <c r="E11" s="67">
        <v>2000</v>
      </c>
      <c r="F11" s="67">
        <v>2000</v>
      </c>
      <c r="G11" s="67">
        <f t="shared" si="0"/>
        <v>0</v>
      </c>
      <c r="H11" s="317"/>
      <c r="I11" s="67"/>
      <c r="J11" s="317"/>
      <c r="K11" s="433">
        <v>1000</v>
      </c>
      <c r="L11" s="538"/>
      <c r="M11" s="538"/>
      <c r="N11" s="538"/>
      <c r="O11" s="538"/>
      <c r="P11" s="538"/>
      <c r="Q11" s="396">
        <v>1000</v>
      </c>
      <c r="R11" s="538"/>
      <c r="S11" s="538"/>
      <c r="T11" s="538"/>
      <c r="U11" s="538"/>
      <c r="V11" s="538"/>
      <c r="W11" s="397"/>
      <c r="X11" s="319">
        <f t="shared" si="1"/>
        <v>2000</v>
      </c>
    </row>
    <row r="12" spans="1:24" ht="15.75" customHeight="1">
      <c r="A12" s="128" t="s">
        <v>534</v>
      </c>
      <c r="B12" s="128"/>
      <c r="C12" s="384">
        <f t="shared" ref="C12:F12" si="3">SUM(C9:C11)</f>
        <v>12000</v>
      </c>
      <c r="D12" s="514">
        <f t="shared" si="3"/>
        <v>7435.91</v>
      </c>
      <c r="E12" s="514">
        <f t="shared" si="3"/>
        <v>5500</v>
      </c>
      <c r="F12" s="514">
        <f t="shared" si="3"/>
        <v>18000</v>
      </c>
      <c r="G12" s="515">
        <f t="shared" si="0"/>
        <v>6000</v>
      </c>
      <c r="H12" s="516"/>
      <c r="I12" s="514"/>
      <c r="J12" s="516"/>
      <c r="K12" s="517">
        <f t="shared" ref="K12:V12" si="4">SUM(K9:K11)</f>
        <v>2233.333333333333</v>
      </c>
      <c r="L12" s="517">
        <f t="shared" si="4"/>
        <v>1333.3333333333333</v>
      </c>
      <c r="M12" s="517">
        <f t="shared" si="4"/>
        <v>1233.3333333333333</v>
      </c>
      <c r="N12" s="517">
        <f t="shared" si="4"/>
        <v>1533.3333333333333</v>
      </c>
      <c r="O12" s="517">
        <f t="shared" si="4"/>
        <v>1233.3333333333333</v>
      </c>
      <c r="P12" s="517">
        <f t="shared" si="4"/>
        <v>1333.3333333333333</v>
      </c>
      <c r="Q12" s="517">
        <f t="shared" si="4"/>
        <v>2333.333333333333</v>
      </c>
      <c r="R12" s="517">
        <f t="shared" si="4"/>
        <v>1533.3333333333333</v>
      </c>
      <c r="S12" s="517">
        <f t="shared" si="4"/>
        <v>1533.3333333333333</v>
      </c>
      <c r="T12" s="517">
        <f t="shared" si="4"/>
        <v>1233.3333333333333</v>
      </c>
      <c r="U12" s="517">
        <f t="shared" si="4"/>
        <v>1233.3333333333333</v>
      </c>
      <c r="V12" s="517">
        <f t="shared" si="4"/>
        <v>1233.3333333333333</v>
      </c>
      <c r="W12" s="518"/>
      <c r="X12" s="517">
        <f>SUM(X9:X11)</f>
        <v>18000</v>
      </c>
    </row>
    <row r="13" spans="1:24" ht="15.75" customHeight="1">
      <c r="A13" s="129"/>
      <c r="B13" s="129"/>
      <c r="C13" s="292"/>
      <c r="D13" s="196"/>
      <c r="E13" s="196"/>
      <c r="F13" s="196"/>
      <c r="G13" s="196"/>
      <c r="H13" s="196"/>
      <c r="I13" s="196"/>
      <c r="J13" s="196"/>
      <c r="K13" s="196"/>
      <c r="L13" s="196"/>
      <c r="M13" s="196"/>
      <c r="N13" s="196"/>
      <c r="O13" s="196"/>
      <c r="P13" s="196"/>
      <c r="Q13" s="196"/>
      <c r="R13" s="196"/>
      <c r="S13" s="196"/>
      <c r="T13" s="196"/>
      <c r="U13" s="196"/>
      <c r="V13" s="196"/>
      <c r="W13" s="196"/>
      <c r="X13" s="196"/>
    </row>
    <row r="14" spans="1:24" ht="15.75" hidden="1" customHeight="1">
      <c r="A14" s="276" t="s">
        <v>291</v>
      </c>
      <c r="B14" s="129"/>
      <c r="C14" s="292"/>
      <c r="D14" s="277"/>
      <c r="E14" s="277"/>
      <c r="F14" s="277"/>
      <c r="G14" s="277"/>
      <c r="H14" s="277"/>
      <c r="I14" s="277"/>
      <c r="J14" s="277"/>
      <c r="K14" s="278">
        <f>K5-K12</f>
        <v>-2233.333333333333</v>
      </c>
      <c r="L14" s="278"/>
      <c r="M14" s="278">
        <f>M5-M12</f>
        <v>-1233.3333333333333</v>
      </c>
      <c r="N14" s="278"/>
      <c r="O14" s="278">
        <f>O5-O12</f>
        <v>-1233.3333333333333</v>
      </c>
      <c r="P14" s="278"/>
      <c r="Q14" s="278">
        <f>Q5-Q12</f>
        <v>-2333.333333333333</v>
      </c>
      <c r="R14" s="278"/>
      <c r="S14" s="278">
        <f>S5-S12</f>
        <v>-1533.3333333333333</v>
      </c>
      <c r="T14" s="278"/>
      <c r="U14" s="278">
        <f>U5-U12</f>
        <v>-1233.3333333333333</v>
      </c>
      <c r="V14" s="278"/>
      <c r="W14" s="278">
        <f t="shared" ref="W14:X14" si="5">W5-W12</f>
        <v>0</v>
      </c>
      <c r="X14" s="278">
        <f t="shared" si="5"/>
        <v>-18000</v>
      </c>
    </row>
    <row r="15" spans="1:24" ht="15.75" hidden="1" customHeight="1">
      <c r="A15" s="128"/>
      <c r="B15" s="129"/>
      <c r="C15" s="292"/>
      <c r="D15" s="129"/>
      <c r="E15" s="129"/>
      <c r="F15" s="129"/>
      <c r="G15" s="129"/>
      <c r="H15" s="129"/>
      <c r="I15" s="129"/>
      <c r="J15" s="129"/>
      <c r="K15" s="129"/>
      <c r="L15" s="129"/>
      <c r="M15" s="129"/>
      <c r="N15" s="129"/>
      <c r="O15" s="129"/>
      <c r="P15" s="129"/>
      <c r="Q15" s="129"/>
      <c r="R15" s="129"/>
      <c r="S15" s="129"/>
      <c r="T15" s="129"/>
      <c r="U15" s="129"/>
      <c r="V15" s="129"/>
      <c r="W15" s="129"/>
      <c r="X15" s="129"/>
    </row>
    <row r="16" spans="1:24" ht="15.75" hidden="1" customHeight="1">
      <c r="C16" s="328"/>
      <c r="D16" s="289"/>
      <c r="E16" s="289"/>
      <c r="F16" s="289"/>
      <c r="G16" s="289"/>
      <c r="H16" s="289"/>
      <c r="I16" s="289"/>
      <c r="J16" s="289"/>
      <c r="K16" s="289"/>
      <c r="L16" s="289"/>
      <c r="M16" s="289"/>
      <c r="N16" s="289"/>
      <c r="O16" s="289"/>
      <c r="P16" s="289"/>
      <c r="Q16" s="289"/>
      <c r="R16" s="289"/>
      <c r="S16" s="289"/>
      <c r="T16" s="289"/>
      <c r="U16" s="289"/>
      <c r="V16" s="289"/>
      <c r="W16" s="289"/>
      <c r="X16" s="289"/>
    </row>
    <row r="17" spans="3:24" ht="15.75" hidden="1" customHeight="1">
      <c r="C17" s="328"/>
      <c r="D17" s="289"/>
      <c r="E17" s="289"/>
      <c r="F17" s="289"/>
      <c r="G17" s="289"/>
      <c r="H17" s="289"/>
      <c r="I17" s="289"/>
      <c r="J17" s="289"/>
      <c r="K17" s="289"/>
      <c r="L17" s="289"/>
      <c r="M17" s="289"/>
      <c r="N17" s="289"/>
      <c r="O17" s="289"/>
      <c r="P17" s="289"/>
      <c r="Q17" s="289"/>
      <c r="R17" s="289"/>
      <c r="S17" s="289"/>
      <c r="T17" s="289"/>
      <c r="U17" s="289"/>
      <c r="V17" s="289"/>
      <c r="W17" s="289"/>
      <c r="X17" s="289"/>
    </row>
    <row r="18" spans="3:24" ht="15.75" hidden="1" customHeight="1">
      <c r="C18" s="328"/>
      <c r="D18" s="289"/>
      <c r="E18" s="289"/>
      <c r="F18" s="289"/>
      <c r="G18" s="289"/>
      <c r="H18" s="289"/>
      <c r="I18" s="289"/>
      <c r="J18" s="289"/>
      <c r="K18" s="289"/>
      <c r="L18" s="289"/>
      <c r="M18" s="289"/>
      <c r="N18" s="289"/>
      <c r="O18" s="289"/>
      <c r="P18" s="289"/>
      <c r="Q18" s="289"/>
      <c r="R18" s="289"/>
      <c r="S18" s="289"/>
      <c r="T18" s="289"/>
      <c r="U18" s="289"/>
      <c r="V18" s="289"/>
      <c r="W18" s="289"/>
      <c r="X18" s="289"/>
    </row>
    <row r="19" spans="3:24" ht="15.75" hidden="1" customHeight="1">
      <c r="C19" s="328"/>
      <c r="D19" s="289"/>
      <c r="E19" s="289"/>
      <c r="F19" s="289"/>
      <c r="G19" s="289"/>
      <c r="H19" s="289"/>
      <c r="I19" s="289"/>
      <c r="J19" s="289"/>
      <c r="K19" s="289"/>
      <c r="L19" s="289"/>
      <c r="M19" s="289"/>
      <c r="N19" s="289"/>
      <c r="O19" s="289"/>
      <c r="P19" s="289"/>
      <c r="Q19" s="289"/>
      <c r="R19" s="289"/>
      <c r="S19" s="289"/>
      <c r="T19" s="289"/>
      <c r="U19" s="289"/>
      <c r="V19" s="289"/>
      <c r="W19" s="289"/>
      <c r="X19" s="289"/>
    </row>
    <row r="20" spans="3:24" ht="15.75" hidden="1" customHeight="1">
      <c r="C20" s="328"/>
      <c r="D20" s="289"/>
      <c r="E20" s="289"/>
      <c r="F20" s="289"/>
      <c r="G20" s="289"/>
      <c r="H20" s="289"/>
      <c r="I20" s="289"/>
      <c r="J20" s="289"/>
      <c r="K20" s="289"/>
      <c r="L20" s="289"/>
      <c r="M20" s="289"/>
      <c r="N20" s="289"/>
      <c r="O20" s="289"/>
      <c r="P20" s="289"/>
      <c r="Q20" s="289"/>
      <c r="R20" s="289"/>
      <c r="S20" s="289"/>
      <c r="T20" s="289"/>
      <c r="U20" s="289"/>
      <c r="V20" s="289"/>
      <c r="W20" s="289"/>
      <c r="X20" s="289"/>
    </row>
    <row r="21" spans="3:24" ht="15.75" hidden="1" customHeight="1">
      <c r="C21" s="328"/>
      <c r="D21" s="289"/>
      <c r="E21" s="289"/>
      <c r="F21" s="289"/>
      <c r="G21" s="289"/>
      <c r="H21" s="289"/>
      <c r="I21" s="289"/>
      <c r="J21" s="289"/>
      <c r="K21" s="289"/>
      <c r="L21" s="289"/>
      <c r="M21" s="289"/>
      <c r="N21" s="289"/>
      <c r="O21" s="289"/>
      <c r="P21" s="289"/>
      <c r="Q21" s="289"/>
      <c r="R21" s="289"/>
      <c r="S21" s="289"/>
      <c r="T21" s="289"/>
      <c r="U21" s="289"/>
      <c r="V21" s="289"/>
      <c r="W21" s="289"/>
      <c r="X21" s="289"/>
    </row>
    <row r="22" spans="3:24" ht="15.75" hidden="1" customHeight="1">
      <c r="C22" s="328"/>
      <c r="D22" s="289"/>
      <c r="E22" s="289"/>
      <c r="F22" s="289"/>
      <c r="G22" s="289"/>
      <c r="H22" s="289"/>
      <c r="I22" s="289"/>
      <c r="J22" s="289"/>
      <c r="K22" s="289"/>
      <c r="L22" s="289"/>
      <c r="M22" s="289"/>
      <c r="N22" s="289"/>
      <c r="O22" s="289"/>
      <c r="P22" s="289"/>
      <c r="Q22" s="289"/>
      <c r="R22" s="289"/>
      <c r="S22" s="289"/>
      <c r="T22" s="289"/>
      <c r="U22" s="289"/>
      <c r="V22" s="289"/>
      <c r="W22" s="289"/>
      <c r="X22" s="289"/>
    </row>
    <row r="23" spans="3:24" ht="15.75" hidden="1" customHeight="1">
      <c r="C23" s="328"/>
      <c r="D23" s="289"/>
      <c r="E23" s="289"/>
      <c r="F23" s="289"/>
      <c r="G23" s="289"/>
      <c r="H23" s="289"/>
      <c r="I23" s="289"/>
      <c r="J23" s="289"/>
      <c r="K23" s="289"/>
      <c r="L23" s="289"/>
      <c r="M23" s="289"/>
      <c r="N23" s="289"/>
      <c r="O23" s="289"/>
      <c r="P23" s="289"/>
      <c r="Q23" s="289"/>
      <c r="R23" s="289"/>
      <c r="S23" s="289"/>
      <c r="T23" s="289"/>
      <c r="U23" s="289"/>
      <c r="V23" s="289"/>
      <c r="W23" s="289"/>
      <c r="X23" s="289"/>
    </row>
    <row r="24" spans="3:24" ht="15.75" customHeight="1">
      <c r="C24" s="328"/>
      <c r="D24" s="289"/>
      <c r="E24" s="289"/>
      <c r="F24" s="289"/>
      <c r="G24" s="289"/>
      <c r="H24" s="289"/>
      <c r="I24" s="289"/>
      <c r="J24" s="289"/>
      <c r="K24" s="289"/>
      <c r="L24" s="289"/>
      <c r="M24" s="289"/>
      <c r="N24" s="289"/>
      <c r="O24" s="289"/>
      <c r="P24" s="289"/>
      <c r="Q24" s="289"/>
      <c r="R24" s="289"/>
      <c r="S24" s="289"/>
      <c r="T24" s="289"/>
      <c r="U24" s="289"/>
      <c r="V24" s="289"/>
      <c r="W24" s="289"/>
      <c r="X24" s="289"/>
    </row>
    <row r="25" spans="3:24" ht="15.75" customHeight="1">
      <c r="C25" s="328"/>
      <c r="D25" s="289"/>
      <c r="E25" s="289"/>
      <c r="F25" s="289"/>
      <c r="G25" s="289"/>
      <c r="H25" s="289"/>
      <c r="I25" s="289"/>
      <c r="J25" s="289"/>
      <c r="K25" s="289"/>
      <c r="L25" s="289"/>
      <c r="M25" s="289"/>
      <c r="N25" s="289"/>
      <c r="O25" s="289"/>
      <c r="P25" s="289"/>
      <c r="Q25" s="289"/>
      <c r="R25" s="289"/>
      <c r="S25" s="289"/>
      <c r="T25" s="289"/>
      <c r="U25" s="289"/>
      <c r="V25" s="289"/>
      <c r="W25" s="289"/>
      <c r="X25" s="289"/>
    </row>
    <row r="26" spans="3:24" ht="25.5" customHeight="1">
      <c r="C26" s="328"/>
      <c r="D26" s="289"/>
      <c r="E26" s="289"/>
      <c r="F26" s="289"/>
      <c r="G26" s="289"/>
      <c r="H26" s="289"/>
      <c r="I26" s="289"/>
      <c r="J26" s="289"/>
      <c r="K26" s="289"/>
      <c r="L26" s="539" t="s">
        <v>535</v>
      </c>
      <c r="M26" s="289"/>
      <c r="N26" s="428" t="s">
        <v>536</v>
      </c>
      <c r="O26" s="289"/>
      <c r="P26" s="289"/>
      <c r="Q26" s="289"/>
      <c r="R26" s="289" t="s">
        <v>537</v>
      </c>
      <c r="S26" s="289" t="s">
        <v>538</v>
      </c>
      <c r="T26" s="289"/>
      <c r="U26" s="289"/>
      <c r="V26" s="289"/>
      <c r="W26" s="289"/>
      <c r="X26" s="289"/>
    </row>
    <row r="27" spans="3:24" ht="15.75" customHeight="1">
      <c r="C27" s="328"/>
      <c r="D27" s="289"/>
      <c r="E27" s="289"/>
      <c r="F27" s="289"/>
      <c r="G27" s="289"/>
      <c r="H27" s="289"/>
      <c r="I27" s="289"/>
      <c r="J27" s="289"/>
      <c r="K27" s="289"/>
      <c r="L27" s="289"/>
      <c r="M27" s="289"/>
      <c r="N27" s="428" t="s">
        <v>538</v>
      </c>
      <c r="O27" s="289"/>
      <c r="P27" s="289"/>
      <c r="Q27" s="289"/>
      <c r="R27" s="289"/>
      <c r="S27" s="289"/>
      <c r="T27" s="289"/>
      <c r="U27" s="289"/>
      <c r="V27" s="289"/>
      <c r="W27" s="289"/>
      <c r="X27" s="289"/>
    </row>
    <row r="28" spans="3:24" ht="15.75" customHeight="1">
      <c r="C28" s="328"/>
      <c r="D28" s="289"/>
      <c r="E28" s="289"/>
      <c r="F28" s="289"/>
      <c r="G28" s="289"/>
      <c r="H28" s="289"/>
      <c r="I28" s="289"/>
      <c r="J28" s="289"/>
      <c r="K28" s="289"/>
      <c r="L28" s="289"/>
      <c r="M28" s="289"/>
      <c r="N28" s="289"/>
      <c r="O28" s="289"/>
      <c r="P28" s="289"/>
      <c r="Q28" s="289"/>
      <c r="R28" s="289"/>
      <c r="S28" s="289"/>
      <c r="T28" s="289"/>
      <c r="U28" s="289"/>
      <c r="V28" s="289"/>
      <c r="W28" s="289"/>
      <c r="X28" s="289"/>
    </row>
    <row r="29" spans="3:24" ht="15.75" customHeight="1">
      <c r="C29" s="328"/>
      <c r="D29" s="289"/>
      <c r="E29" s="289"/>
      <c r="F29" s="289"/>
      <c r="G29" s="289"/>
      <c r="H29" s="289"/>
      <c r="I29" s="289"/>
      <c r="J29" s="289"/>
      <c r="K29" s="289"/>
      <c r="L29" s="289"/>
      <c r="M29" s="289"/>
      <c r="N29" s="289"/>
      <c r="O29" s="289"/>
      <c r="P29" s="289"/>
      <c r="Q29" s="289"/>
      <c r="R29" s="289"/>
      <c r="S29" s="289"/>
      <c r="T29" s="289"/>
      <c r="U29" s="289"/>
      <c r="V29" s="289"/>
      <c r="W29" s="289"/>
      <c r="X29" s="289"/>
    </row>
    <row r="30" spans="3:24" ht="15.75" customHeight="1">
      <c r="C30" s="328"/>
      <c r="D30" s="289"/>
      <c r="E30" s="289"/>
      <c r="F30" s="289"/>
      <c r="G30" s="289"/>
      <c r="H30" s="289"/>
      <c r="I30" s="289"/>
      <c r="J30" s="289"/>
      <c r="K30" s="289"/>
      <c r="L30" s="289"/>
      <c r="M30" s="289"/>
      <c r="N30" s="289"/>
      <c r="O30" s="289"/>
      <c r="P30" s="289"/>
      <c r="Q30" s="289"/>
      <c r="R30" s="289"/>
      <c r="S30" s="289"/>
      <c r="T30" s="289"/>
      <c r="U30" s="289"/>
      <c r="V30" s="289"/>
      <c r="W30" s="289"/>
      <c r="X30" s="289"/>
    </row>
    <row r="31" spans="3:24" ht="15.75" customHeight="1">
      <c r="C31" s="328"/>
      <c r="D31" s="289"/>
      <c r="E31" s="289"/>
      <c r="F31" s="289"/>
      <c r="G31" s="289"/>
      <c r="H31" s="289"/>
      <c r="I31" s="289"/>
      <c r="J31" s="289"/>
      <c r="K31" s="289"/>
      <c r="L31" s="289"/>
      <c r="M31" s="289"/>
      <c r="N31" s="289"/>
      <c r="O31" s="289"/>
      <c r="P31" s="289"/>
      <c r="Q31" s="289"/>
      <c r="R31" s="289"/>
      <c r="S31" s="289"/>
      <c r="T31" s="289"/>
      <c r="U31" s="289"/>
      <c r="V31" s="289"/>
      <c r="W31" s="289"/>
      <c r="X31" s="289"/>
    </row>
    <row r="32" spans="3:24" ht="15.75" customHeight="1">
      <c r="C32" s="328"/>
      <c r="D32" s="289"/>
      <c r="E32" s="289"/>
      <c r="F32" s="289"/>
      <c r="G32" s="289"/>
      <c r="H32" s="289"/>
      <c r="I32" s="289"/>
      <c r="J32" s="289"/>
      <c r="K32" s="289"/>
      <c r="L32" s="289"/>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289"/>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289"/>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289"/>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3:24" ht="15.75" customHeight="1"/>
    <row r="220" spans="3:24" ht="15.75" customHeight="1"/>
    <row r="221" spans="3:24" ht="15.75" customHeight="1"/>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FF"/>
    <pageSetUpPr fitToPage="1"/>
  </sheetPr>
  <dimension ref="A1:X1019"/>
  <sheetViews>
    <sheetView topLeftCell="A87" workbookViewId="0">
      <selection activeCell="I174" sqref="I174:P174"/>
    </sheetView>
  </sheetViews>
  <sheetFormatPr defaultColWidth="12.5703125" defaultRowHeight="15" customHeight="1"/>
  <cols>
    <col min="1" max="1" width="7.7109375" customWidth="1"/>
    <col min="2" max="2" width="30.28515625" customWidth="1"/>
    <col min="3" max="3" width="13.28515625" customWidth="1"/>
    <col min="4" max="4" width="14.42578125" customWidth="1"/>
    <col min="5" max="5" width="12.42578125" customWidth="1"/>
    <col min="6" max="6" width="11.85546875" customWidth="1"/>
    <col min="7" max="7" width="12.7109375" customWidth="1"/>
    <col min="8" max="8" width="3.42578125" customWidth="1"/>
    <col min="9" max="10" width="10.7109375" customWidth="1"/>
    <col min="11" max="12" width="11" bestFit="1" customWidth="1"/>
    <col min="13" max="13" width="11.140625" customWidth="1"/>
    <col min="14" max="14" width="11" bestFit="1" customWidth="1"/>
    <col min="15" max="15" width="10.7109375" customWidth="1"/>
    <col min="16" max="17" width="11.42578125" customWidth="1"/>
    <col min="18" max="18" width="11.140625" customWidth="1"/>
    <col min="19" max="19" width="11.85546875" customWidth="1"/>
    <col min="20" max="20" width="11.140625" customWidth="1"/>
    <col min="21" max="21" width="2.7109375" customWidth="1"/>
    <col min="22" max="22" width="11.7109375" customWidth="1"/>
  </cols>
  <sheetData>
    <row r="1" spans="1:22" ht="15.75" customHeight="1">
      <c r="A1" s="128" t="s">
        <v>122</v>
      </c>
      <c r="B1" s="129"/>
      <c r="C1" s="129"/>
      <c r="D1" s="129"/>
      <c r="E1" s="129"/>
      <c r="F1" s="129"/>
      <c r="G1" s="129"/>
      <c r="H1" s="129"/>
      <c r="I1" s="129"/>
      <c r="J1" s="130"/>
      <c r="K1" s="129"/>
      <c r="L1" s="129"/>
      <c r="M1" s="129"/>
      <c r="N1" s="129"/>
      <c r="O1" s="129"/>
      <c r="P1" s="129"/>
      <c r="Q1" s="131"/>
      <c r="R1" s="131"/>
      <c r="S1" s="129"/>
      <c r="T1" s="129"/>
      <c r="U1" s="132"/>
      <c r="V1" s="132"/>
    </row>
    <row r="2" spans="1:22" ht="15.75" customHeight="1">
      <c r="A2" s="128" t="s">
        <v>123</v>
      </c>
      <c r="B2" s="129"/>
      <c r="C2" s="129"/>
      <c r="D2" s="129"/>
      <c r="E2" s="129"/>
      <c r="F2" s="129"/>
      <c r="G2" s="129"/>
      <c r="H2" s="129"/>
      <c r="I2" s="129"/>
      <c r="J2" s="129"/>
      <c r="K2" s="129"/>
      <c r="L2" s="129"/>
      <c r="M2" s="129"/>
      <c r="N2" s="129"/>
      <c r="O2" s="129"/>
      <c r="P2" s="129"/>
      <c r="Q2" s="129"/>
      <c r="R2" s="129"/>
      <c r="S2" s="129"/>
      <c r="T2" s="129"/>
      <c r="U2" s="132"/>
      <c r="V2" s="132"/>
    </row>
    <row r="3" spans="1:22" ht="15.75" customHeight="1">
      <c r="A3" s="133" t="s">
        <v>124</v>
      </c>
      <c r="B3" s="134"/>
      <c r="C3" s="129"/>
      <c r="D3" s="129"/>
      <c r="E3" s="129"/>
      <c r="F3" s="129"/>
      <c r="G3" s="129"/>
      <c r="H3" s="129"/>
      <c r="I3" s="129"/>
      <c r="J3" s="129"/>
      <c r="K3" s="129"/>
      <c r="L3" s="129"/>
      <c r="M3" s="135"/>
      <c r="N3" s="129"/>
      <c r="O3" s="129"/>
      <c r="P3" s="129"/>
      <c r="Q3" s="129"/>
      <c r="R3" s="129"/>
      <c r="S3" s="129"/>
      <c r="T3" s="129"/>
      <c r="U3" s="132"/>
      <c r="V3" s="132"/>
    </row>
    <row r="4" spans="1:22" ht="15.75" customHeight="1">
      <c r="A4" s="128"/>
      <c r="B4" s="129"/>
      <c r="C4" s="129"/>
      <c r="U4" s="136"/>
      <c r="V4" s="136"/>
    </row>
    <row r="5" spans="1:22" ht="15.75" customHeight="1">
      <c r="A5" s="128"/>
      <c r="B5" s="129"/>
      <c r="C5" s="129"/>
      <c r="D5" s="137"/>
      <c r="E5" s="137"/>
      <c r="F5" s="137"/>
      <c r="G5" s="137"/>
      <c r="H5" s="137"/>
      <c r="I5" s="137"/>
      <c r="J5" s="593" t="s">
        <v>125</v>
      </c>
      <c r="K5" s="594"/>
      <c r="L5" s="594"/>
      <c r="M5" s="594"/>
      <c r="N5" s="595"/>
      <c r="O5" s="594"/>
      <c r="P5" s="594"/>
      <c r="Q5" s="138"/>
      <c r="R5" s="138"/>
      <c r="S5" s="138"/>
      <c r="T5" s="139"/>
      <c r="U5" s="136"/>
    </row>
    <row r="6" spans="1:22" ht="40.5" customHeight="1">
      <c r="A6" s="128" t="s">
        <v>126</v>
      </c>
      <c r="B6" s="129"/>
      <c r="C6" s="137" t="s">
        <v>127</v>
      </c>
      <c r="D6" s="140" t="s">
        <v>128</v>
      </c>
      <c r="E6" s="140" t="s">
        <v>129</v>
      </c>
      <c r="F6" s="140" t="s">
        <v>130</v>
      </c>
      <c r="G6" s="140" t="s">
        <v>131</v>
      </c>
      <c r="H6" s="141"/>
      <c r="I6" s="142">
        <v>45474</v>
      </c>
      <c r="J6" s="142">
        <v>45505</v>
      </c>
      <c r="K6" s="142">
        <v>45536</v>
      </c>
      <c r="L6" s="142">
        <v>45566</v>
      </c>
      <c r="M6" s="142">
        <v>45597</v>
      </c>
      <c r="N6" s="142">
        <v>45627</v>
      </c>
      <c r="O6" s="142">
        <v>45658</v>
      </c>
      <c r="P6" s="142">
        <v>45689</v>
      </c>
      <c r="Q6" s="142">
        <v>45717</v>
      </c>
      <c r="R6" s="142">
        <v>45748</v>
      </c>
      <c r="S6" s="142">
        <v>45778</v>
      </c>
      <c r="T6" s="142">
        <v>45809</v>
      </c>
      <c r="U6" s="143"/>
      <c r="V6" s="144" t="s">
        <v>132</v>
      </c>
    </row>
    <row r="7" spans="1:22" ht="15.75" customHeight="1">
      <c r="A7" s="128"/>
      <c r="B7" s="129" t="s">
        <v>133</v>
      </c>
      <c r="C7" s="145">
        <f>'Central Office'!C6</f>
        <v>12518566</v>
      </c>
      <c r="D7" s="146">
        <f>'Central Office'!D6</f>
        <v>7389836.0099999998</v>
      </c>
      <c r="E7" s="146">
        <f>'Central Office'!E6</f>
        <v>7718336.25</v>
      </c>
      <c r="F7" s="146">
        <f>'Central Office'!F6</f>
        <v>14973572.324999999</v>
      </c>
      <c r="G7" s="147">
        <f t="shared" ref="G7:G30" si="0">F7-C7</f>
        <v>2455006.3249999993</v>
      </c>
      <c r="H7" s="148"/>
      <c r="I7" s="149">
        <f>'Central Office'!K6</f>
        <v>0</v>
      </c>
      <c r="J7" s="149">
        <f>'Central Office'!L6</f>
        <v>1497357.2324999999</v>
      </c>
      <c r="K7" s="149">
        <f>'Central Office'!M6</f>
        <v>1497357.2324999999</v>
      </c>
      <c r="L7" s="149">
        <f>'Central Office'!N6</f>
        <v>1497357.2324999999</v>
      </c>
      <c r="M7" s="149">
        <f>'Central Office'!O6</f>
        <v>1497357.2324999999</v>
      </c>
      <c r="N7" s="149">
        <f>'Central Office'!P6</f>
        <v>1497357.2324999999</v>
      </c>
      <c r="O7" s="149">
        <f>'Central Office'!Q6</f>
        <v>1497357.2324999999</v>
      </c>
      <c r="P7" s="149">
        <f>'Central Office'!R6</f>
        <v>1497357.2324999999</v>
      </c>
      <c r="Q7" s="149">
        <f>'Central Office'!S6</f>
        <v>1497357.2324999999</v>
      </c>
      <c r="R7" s="149">
        <f>'Central Office'!T6</f>
        <v>1497357.2324999999</v>
      </c>
      <c r="S7" s="149">
        <f>'Central Office'!U6</f>
        <v>1497357.2324999999</v>
      </c>
      <c r="T7" s="149">
        <f>'Central Office'!V6</f>
        <v>0</v>
      </c>
      <c r="U7" s="150"/>
      <c r="V7" s="151">
        <f t="shared" ref="V7:V16" si="1">SUM(I7:T7)</f>
        <v>14973572.324999999</v>
      </c>
    </row>
    <row r="8" spans="1:22" ht="15.75" customHeight="1">
      <c r="A8" s="128"/>
      <c r="B8" s="129" t="s">
        <v>134</v>
      </c>
      <c r="C8" s="152">
        <f>'Central Office'!C7</f>
        <v>0</v>
      </c>
      <c r="D8" s="153">
        <f>'Central Office'!D7</f>
        <v>67211.570000000007</v>
      </c>
      <c r="E8" s="153">
        <f>'Central Office'!E7</f>
        <v>95391</v>
      </c>
      <c r="F8" s="153">
        <f>'Central Office'!F7</f>
        <v>0</v>
      </c>
      <c r="G8" s="147">
        <f t="shared" si="0"/>
        <v>0</v>
      </c>
      <c r="H8" s="148"/>
      <c r="I8" s="149"/>
      <c r="J8" s="149"/>
      <c r="K8" s="149"/>
      <c r="L8" s="149"/>
      <c r="M8" s="149"/>
      <c r="N8" s="149"/>
      <c r="O8" s="149"/>
      <c r="P8" s="149"/>
      <c r="Q8" s="149"/>
      <c r="R8" s="149"/>
      <c r="S8" s="149"/>
      <c r="T8" s="149">
        <f>'Central Office'!V7</f>
        <v>0</v>
      </c>
      <c r="U8" s="154"/>
      <c r="V8" s="151">
        <f t="shared" si="1"/>
        <v>0</v>
      </c>
    </row>
    <row r="9" spans="1:22" ht="15.75" customHeight="1">
      <c r="A9" s="128"/>
      <c r="B9" s="129" t="s">
        <v>135</v>
      </c>
      <c r="C9" s="152">
        <f>'Central Office'!C8</f>
        <v>0</v>
      </c>
      <c r="D9" s="153">
        <f>'Central Office'!D8</f>
        <v>0</v>
      </c>
      <c r="E9" s="153">
        <f>'Central Office'!E8</f>
        <v>86720</v>
      </c>
      <c r="F9" s="153">
        <f>'Central Office'!F8</f>
        <v>0</v>
      </c>
      <c r="G9" s="147">
        <f t="shared" si="0"/>
        <v>0</v>
      </c>
      <c r="H9" s="148"/>
      <c r="I9" s="149"/>
      <c r="J9" s="149"/>
      <c r="K9" s="149"/>
      <c r="L9" s="149"/>
      <c r="M9" s="149"/>
      <c r="N9" s="149"/>
      <c r="O9" s="149"/>
      <c r="P9" s="149"/>
      <c r="Q9" s="149"/>
      <c r="R9" s="149"/>
      <c r="S9" s="149"/>
      <c r="T9" s="149">
        <f>'Central Office'!V8</f>
        <v>0</v>
      </c>
      <c r="U9" s="154"/>
      <c r="V9" s="151">
        <f t="shared" si="1"/>
        <v>0</v>
      </c>
    </row>
    <row r="10" spans="1:22" ht="15.75" customHeight="1">
      <c r="A10" s="128"/>
      <c r="B10" s="129" t="s">
        <v>136</v>
      </c>
      <c r="C10" s="152">
        <f>'Central Office'!C9</f>
        <v>160858</v>
      </c>
      <c r="D10" s="149">
        <f>'Central Office'!D9</f>
        <v>160858</v>
      </c>
      <c r="E10" s="149">
        <f>'Central Office'!E9</f>
        <v>157436</v>
      </c>
      <c r="F10" s="149">
        <f>'Central Office'!F9</f>
        <v>157436</v>
      </c>
      <c r="G10" s="147">
        <f t="shared" si="0"/>
        <v>-3422</v>
      </c>
      <c r="H10" s="148"/>
      <c r="I10" s="149">
        <f>'Central Office'!K9</f>
        <v>0</v>
      </c>
      <c r="J10" s="149">
        <f>'Central Office'!L9</f>
        <v>0</v>
      </c>
      <c r="K10" s="149">
        <f>'Central Office'!M9</f>
        <v>0</v>
      </c>
      <c r="L10" s="149">
        <f>'Central Office'!N9</f>
        <v>0</v>
      </c>
      <c r="M10" s="149">
        <f>'Central Office'!O9</f>
        <v>78718</v>
      </c>
      <c r="N10" s="149">
        <f>'Central Office'!P9</f>
        <v>0</v>
      </c>
      <c r="O10" s="149">
        <f>'Central Office'!Q9</f>
        <v>0</v>
      </c>
      <c r="P10" s="149">
        <f>'Central Office'!R9</f>
        <v>0</v>
      </c>
      <c r="Q10" s="149">
        <f>'Central Office'!S9</f>
        <v>78718</v>
      </c>
      <c r="R10" s="149">
        <f>'Central Office'!T9</f>
        <v>0</v>
      </c>
      <c r="S10" s="149">
        <f>'Central Office'!U9</f>
        <v>0</v>
      </c>
      <c r="T10" s="149">
        <f>'Central Office'!V9</f>
        <v>0</v>
      </c>
      <c r="U10" s="154"/>
      <c r="V10" s="151">
        <f t="shared" si="1"/>
        <v>157436</v>
      </c>
    </row>
    <row r="11" spans="1:22" ht="15.75" customHeight="1">
      <c r="A11" s="128"/>
      <c r="B11" s="129" t="s">
        <v>137</v>
      </c>
      <c r="C11" s="155">
        <f>'Central Office'!C10</f>
        <v>0</v>
      </c>
      <c r="D11" s="156">
        <f>'Central Office'!D10</f>
        <v>0</v>
      </c>
      <c r="E11" s="156">
        <f>'Central Office'!E10</f>
        <v>91124.84</v>
      </c>
      <c r="F11" s="156">
        <f>'Central Office'!F10</f>
        <v>90000</v>
      </c>
      <c r="G11" s="147">
        <f t="shared" si="0"/>
        <v>90000</v>
      </c>
      <c r="H11" s="148"/>
      <c r="I11" s="149">
        <f>'Central Office'!K10</f>
        <v>0</v>
      </c>
      <c r="J11" s="149">
        <f>'Central Office'!L10</f>
        <v>0</v>
      </c>
      <c r="K11" s="149">
        <f>'Central Office'!M10</f>
        <v>0</v>
      </c>
      <c r="L11" s="149">
        <f>'Central Office'!N10</f>
        <v>0</v>
      </c>
      <c r="M11" s="149">
        <f>'Central Office'!O10</f>
        <v>45000</v>
      </c>
      <c r="N11" s="149">
        <f>'Central Office'!P10</f>
        <v>0</v>
      </c>
      <c r="O11" s="149">
        <f>'Central Office'!Q10</f>
        <v>0</v>
      </c>
      <c r="P11" s="149">
        <f>'Central Office'!R10</f>
        <v>0</v>
      </c>
      <c r="Q11" s="149">
        <f>'Central Office'!S10</f>
        <v>45000</v>
      </c>
      <c r="R11" s="149">
        <f>'Central Office'!T10</f>
        <v>0</v>
      </c>
      <c r="S11" s="149">
        <f>'Central Office'!U10</f>
        <v>0</v>
      </c>
      <c r="T11" s="149">
        <f>'Central Office'!V10</f>
        <v>0</v>
      </c>
      <c r="U11" s="154"/>
      <c r="V11" s="151">
        <f t="shared" si="1"/>
        <v>90000</v>
      </c>
    </row>
    <row r="12" spans="1:22" ht="15.75" customHeight="1">
      <c r="A12" s="128"/>
      <c r="B12" s="129" t="s">
        <v>138</v>
      </c>
      <c r="C12" s="157">
        <f>'Nutrition Program'!C5</f>
        <v>175000</v>
      </c>
      <c r="D12" s="149">
        <f>'Nutrition Program'!D5</f>
        <v>116730.04000000001</v>
      </c>
      <c r="E12" s="149">
        <f>'Nutrition Program'!E5</f>
        <v>110000</v>
      </c>
      <c r="F12" s="149">
        <f>'Nutrition Program'!F5</f>
        <v>175000</v>
      </c>
      <c r="G12" s="147">
        <f t="shared" si="0"/>
        <v>0</v>
      </c>
      <c r="H12" s="148"/>
      <c r="I12" s="149">
        <f>'Nutrition Program'!K5</f>
        <v>3890</v>
      </c>
      <c r="J12" s="149">
        <f>'Nutrition Program'!L5</f>
        <v>21389</v>
      </c>
      <c r="K12" s="149">
        <f>'Nutrition Program'!M5</f>
        <v>18472</v>
      </c>
      <c r="L12" s="149">
        <f>'Nutrition Program'!N5</f>
        <v>17500</v>
      </c>
      <c r="M12" s="149">
        <f>'Nutrition Program'!O5</f>
        <v>14583</v>
      </c>
      <c r="N12" s="149">
        <f>'Nutrition Program'!P5</f>
        <v>14583</v>
      </c>
      <c r="O12" s="149">
        <f>'Nutrition Program'!Q5</f>
        <v>17500</v>
      </c>
      <c r="P12" s="149">
        <f>'Nutrition Program'!R5</f>
        <v>14583</v>
      </c>
      <c r="Q12" s="149">
        <f>'Nutrition Program'!S5</f>
        <v>19444</v>
      </c>
      <c r="R12" s="149">
        <f>'Nutrition Program'!T5</f>
        <v>16528</v>
      </c>
      <c r="S12" s="149">
        <f>'Nutrition Program'!U5</f>
        <v>16528</v>
      </c>
      <c r="T12" s="149">
        <f>'Nutrition Program'!V5</f>
        <v>0</v>
      </c>
      <c r="U12" s="154"/>
      <c r="V12" s="151">
        <f t="shared" si="1"/>
        <v>175000</v>
      </c>
    </row>
    <row r="13" spans="1:22" ht="15.75" customHeight="1">
      <c r="A13" s="128"/>
      <c r="B13" s="129" t="s">
        <v>139</v>
      </c>
      <c r="C13" s="152">
        <f>'Central Office'!C11</f>
        <v>775220</v>
      </c>
      <c r="D13" s="158">
        <f>'Central Office'!D11</f>
        <v>451492.02</v>
      </c>
      <c r="E13" s="158">
        <f>'Central Office'!E11</f>
        <v>165141</v>
      </c>
      <c r="F13" s="158">
        <f>'Central Office'!F11</f>
        <v>0</v>
      </c>
      <c r="G13" s="147">
        <f t="shared" si="0"/>
        <v>-775220</v>
      </c>
      <c r="H13" s="148"/>
      <c r="I13" s="158">
        <f>'Central Office'!K11</f>
        <v>0</v>
      </c>
      <c r="J13" s="158">
        <f>'Central Office'!L11</f>
        <v>0</v>
      </c>
      <c r="K13" s="158">
        <f>'Central Office'!M11</f>
        <v>0</v>
      </c>
      <c r="L13" s="158">
        <f>'Central Office'!N11</f>
        <v>0</v>
      </c>
      <c r="M13" s="158">
        <f>'Central Office'!O11</f>
        <v>0</v>
      </c>
      <c r="N13" s="158">
        <f>'Central Office'!P11</f>
        <v>0</v>
      </c>
      <c r="O13" s="158">
        <f>'Central Office'!Q11</f>
        <v>0</v>
      </c>
      <c r="P13" s="158">
        <f>'Central Office'!R11</f>
        <v>0</v>
      </c>
      <c r="Q13" s="158">
        <f>'Central Office'!S11</f>
        <v>0</v>
      </c>
      <c r="R13" s="158">
        <f>'Central Office'!T11</f>
        <v>0</v>
      </c>
      <c r="S13" s="158">
        <f>'Central Office'!U11</f>
        <v>0</v>
      </c>
      <c r="T13" s="158">
        <f>'Central Office'!V11</f>
        <v>0</v>
      </c>
      <c r="U13" s="148">
        <f>'Central Office'!W11</f>
        <v>0</v>
      </c>
      <c r="V13" s="159">
        <f t="shared" si="1"/>
        <v>0</v>
      </c>
    </row>
    <row r="14" spans="1:22" ht="15.75" hidden="1" customHeight="1">
      <c r="A14" s="128"/>
      <c r="B14" s="160" t="s">
        <v>140</v>
      </c>
      <c r="C14" s="161">
        <v>0</v>
      </c>
      <c r="D14" s="149">
        <v>0</v>
      </c>
      <c r="E14" s="149"/>
      <c r="F14" s="149"/>
      <c r="G14" s="147">
        <f t="shared" si="0"/>
        <v>0</v>
      </c>
      <c r="H14" s="148"/>
      <c r="I14" s="149">
        <v>0</v>
      </c>
      <c r="J14" s="149">
        <v>0</v>
      </c>
      <c r="K14" s="149">
        <v>0</v>
      </c>
      <c r="L14" s="149">
        <v>0</v>
      </c>
      <c r="M14" s="149">
        <v>0</v>
      </c>
      <c r="N14" s="149">
        <v>0</v>
      </c>
      <c r="O14" s="149">
        <v>0</v>
      </c>
      <c r="P14" s="149">
        <v>0</v>
      </c>
      <c r="Q14" s="149">
        <v>0</v>
      </c>
      <c r="R14" s="149">
        <v>0</v>
      </c>
      <c r="S14" s="149">
        <v>0</v>
      </c>
      <c r="T14" s="149">
        <v>0</v>
      </c>
      <c r="U14" s="154"/>
      <c r="V14" s="151">
        <f t="shared" si="1"/>
        <v>0</v>
      </c>
    </row>
    <row r="15" spans="1:22" ht="15.75" customHeight="1">
      <c r="A15" s="162"/>
      <c r="B15" s="107" t="s">
        <v>18</v>
      </c>
      <c r="C15" s="163">
        <f>'Gather &amp; Grow'!C6</f>
        <v>170000</v>
      </c>
      <c r="D15" s="163">
        <f>'Gather &amp; Grow'!D6</f>
        <v>94890.3</v>
      </c>
      <c r="E15" s="163">
        <f>'Gather &amp; Grow'!E6</f>
        <v>70000</v>
      </c>
      <c r="F15" s="163">
        <f>'Gather &amp; Grow'!F6</f>
        <v>170000</v>
      </c>
      <c r="G15" s="147">
        <f t="shared" si="0"/>
        <v>0</v>
      </c>
      <c r="H15" s="148"/>
      <c r="I15" s="164">
        <f>'Gather &amp; Grow'!K6</f>
        <v>10000</v>
      </c>
      <c r="J15" s="164">
        <f>'Gather &amp; Grow'!L6</f>
        <v>17000</v>
      </c>
      <c r="K15" s="164">
        <f>'Gather &amp; Grow'!M6</f>
        <v>15000</v>
      </c>
      <c r="L15" s="164">
        <f>'Gather &amp; Grow'!N6</f>
        <v>17000</v>
      </c>
      <c r="M15" s="164">
        <f>'Gather &amp; Grow'!O6</f>
        <v>35000</v>
      </c>
      <c r="N15" s="164">
        <f>'Gather &amp; Grow'!P6</f>
        <v>40000</v>
      </c>
      <c r="O15" s="164">
        <f>'Gather &amp; Grow'!Q6</f>
        <v>4000</v>
      </c>
      <c r="P15" s="164">
        <f>'Gather &amp; Grow'!R6</f>
        <v>4000</v>
      </c>
      <c r="Q15" s="164">
        <f>'Gather &amp; Grow'!S6</f>
        <v>4000</v>
      </c>
      <c r="R15" s="164">
        <f>'Gather &amp; Grow'!T6</f>
        <v>6000</v>
      </c>
      <c r="S15" s="164">
        <f>'Gather &amp; Grow'!U6</f>
        <v>10000</v>
      </c>
      <c r="T15" s="164">
        <f>'Gather &amp; Grow'!V6</f>
        <v>8000</v>
      </c>
      <c r="U15" s="154"/>
      <c r="V15" s="151">
        <f t="shared" si="1"/>
        <v>170000</v>
      </c>
    </row>
    <row r="16" spans="1:22" ht="15.75" customHeight="1">
      <c r="A16" s="162"/>
      <c r="B16" s="165" t="s">
        <v>19</v>
      </c>
      <c r="C16" s="166">
        <f>'Gather &amp; Grow'!C7</f>
        <v>30000</v>
      </c>
      <c r="D16" s="167">
        <f>'Gather &amp; Grow'!D7</f>
        <v>0</v>
      </c>
      <c r="E16" s="167">
        <f>'Gather &amp; Grow'!E7</f>
        <v>30000</v>
      </c>
      <c r="F16" s="168">
        <f>'Gather &amp; Grow'!F7</f>
        <v>30000</v>
      </c>
      <c r="G16" s="147">
        <f t="shared" si="0"/>
        <v>0</v>
      </c>
      <c r="H16" s="148"/>
      <c r="I16" s="167">
        <f>'Gather &amp; Grow'!K7</f>
        <v>0</v>
      </c>
      <c r="J16" s="167">
        <f>'Gather &amp; Grow'!L7</f>
        <v>0</v>
      </c>
      <c r="K16" s="167">
        <f>'Gather &amp; Grow'!M7</f>
        <v>0</v>
      </c>
      <c r="L16" s="167">
        <f>'Gather &amp; Grow'!N7</f>
        <v>0</v>
      </c>
      <c r="M16" s="167">
        <f>'Gather &amp; Grow'!O7</f>
        <v>0</v>
      </c>
      <c r="N16" s="167">
        <f>'Gather &amp; Grow'!P7</f>
        <v>0</v>
      </c>
      <c r="O16" s="167">
        <f>'Gather &amp; Grow'!Q7</f>
        <v>0</v>
      </c>
      <c r="P16" s="167">
        <f>'Gather &amp; Grow'!R7</f>
        <v>0</v>
      </c>
      <c r="Q16" s="167">
        <f>'Gather &amp; Grow'!S7</f>
        <v>30000</v>
      </c>
      <c r="R16" s="167">
        <f>'Gather &amp; Grow'!T7</f>
        <v>0</v>
      </c>
      <c r="S16" s="167">
        <f>'Gather &amp; Grow'!U7</f>
        <v>0</v>
      </c>
      <c r="T16" s="167">
        <f>'Gather &amp; Grow'!V7</f>
        <v>0</v>
      </c>
      <c r="U16" s="169"/>
      <c r="V16" s="151">
        <f t="shared" si="1"/>
        <v>30000</v>
      </c>
    </row>
    <row r="17" spans="1:24" ht="15.75" customHeight="1">
      <c r="A17" s="128"/>
      <c r="B17" s="170" t="s">
        <v>141</v>
      </c>
      <c r="C17" s="171">
        <f t="shared" ref="C17:F17" si="2">SUM(C18:C25)</f>
        <v>408600</v>
      </c>
      <c r="D17" s="172">
        <f t="shared" si="2"/>
        <v>208521.61999999997</v>
      </c>
      <c r="E17" s="172">
        <f t="shared" si="2"/>
        <v>205225.25</v>
      </c>
      <c r="F17" s="173">
        <f t="shared" si="2"/>
        <v>454500</v>
      </c>
      <c r="G17" s="174">
        <f t="shared" si="0"/>
        <v>45900</v>
      </c>
      <c r="H17" s="148"/>
      <c r="I17" s="175">
        <f t="shared" ref="I17:T17" si="3">SUM(I18:I25)</f>
        <v>2000</v>
      </c>
      <c r="J17" s="175">
        <f t="shared" si="3"/>
        <v>33650</v>
      </c>
      <c r="K17" s="175">
        <f t="shared" si="3"/>
        <v>38365</v>
      </c>
      <c r="L17" s="175">
        <f t="shared" si="3"/>
        <v>45893.571428571428</v>
      </c>
      <c r="M17" s="175">
        <f t="shared" si="3"/>
        <v>50893.571428571428</v>
      </c>
      <c r="N17" s="175">
        <f t="shared" si="3"/>
        <v>43643.571428571428</v>
      </c>
      <c r="O17" s="175">
        <f t="shared" si="3"/>
        <v>52326.904761904763</v>
      </c>
      <c r="P17" s="175">
        <f t="shared" si="3"/>
        <v>54576.904761904763</v>
      </c>
      <c r="Q17" s="175">
        <f t="shared" si="3"/>
        <v>55221.904761904763</v>
      </c>
      <c r="R17" s="175">
        <f t="shared" si="3"/>
        <v>47428.571428571428</v>
      </c>
      <c r="S17" s="175">
        <f t="shared" si="3"/>
        <v>30500</v>
      </c>
      <c r="T17" s="175">
        <f t="shared" si="3"/>
        <v>0</v>
      </c>
      <c r="U17" s="169"/>
      <c r="V17" s="176">
        <f>SUM(V18:V25)</f>
        <v>454500</v>
      </c>
    </row>
    <row r="18" spans="1:24" ht="15.75" customHeight="1">
      <c r="A18" s="128"/>
      <c r="B18" s="177" t="s">
        <v>142</v>
      </c>
      <c r="C18" s="163">
        <f>'Aftercare - EC'!C5+'Aftercare - MC'!C5</f>
        <v>290000</v>
      </c>
      <c r="D18" s="178">
        <f>'Aftercare - EC'!D5+'Aftercare - MC'!D5</f>
        <v>138702.38</v>
      </c>
      <c r="E18" s="179">
        <f>'Aftercare - EC'!E5+'Aftercare - MC'!E5</f>
        <v>141000</v>
      </c>
      <c r="F18" s="179">
        <f>'Aftercare - EC'!F5+'Aftercare - MC'!F5</f>
        <v>287500</v>
      </c>
      <c r="G18" s="147">
        <f t="shared" si="0"/>
        <v>-2500</v>
      </c>
      <c r="H18" s="148"/>
      <c r="I18" s="156">
        <f>'Aftercare - EC'!K5+'Aftercare - MC'!K5</f>
        <v>0</v>
      </c>
      <c r="J18" s="156">
        <f>'Aftercare - EC'!L5+'Aftercare - MC'!L5</f>
        <v>29600</v>
      </c>
      <c r="K18" s="156">
        <f>'Aftercare - EC'!M5+'Aftercare - MC'!M5</f>
        <v>29600</v>
      </c>
      <c r="L18" s="156">
        <f>'Aftercare - EC'!N5+'Aftercare - MC'!N5</f>
        <v>28450</v>
      </c>
      <c r="M18" s="156">
        <f>'Aftercare - EC'!O5+'Aftercare - MC'!O5</f>
        <v>28450</v>
      </c>
      <c r="N18" s="156">
        <f>'Aftercare - EC'!P5+'Aftercare - MC'!P5</f>
        <v>28000</v>
      </c>
      <c r="O18" s="156">
        <f>'Aftercare - EC'!Q5+'Aftercare - MC'!Q5</f>
        <v>28450</v>
      </c>
      <c r="P18" s="156">
        <f>'Aftercare - EC'!R5+'Aftercare - MC'!R5</f>
        <v>28450</v>
      </c>
      <c r="Q18" s="156">
        <f>'Aftercare - EC'!S5+'Aftercare - MC'!S5</f>
        <v>29600</v>
      </c>
      <c r="R18" s="156">
        <f>'Aftercare - EC'!T5+'Aftercare - MC'!T5</f>
        <v>28450</v>
      </c>
      <c r="S18" s="156">
        <f>'Aftercare - EC'!U5+'Aftercare - MC'!U5</f>
        <v>28450</v>
      </c>
      <c r="T18" s="156">
        <f>'Aftercare - EC'!V5+'Aftercare - MC'!V5</f>
        <v>0</v>
      </c>
      <c r="U18" s="169"/>
      <c r="V18" s="180">
        <f t="shared" ref="V18:V29" si="4">SUM(I18:T18)</f>
        <v>287500</v>
      </c>
    </row>
    <row r="19" spans="1:24" ht="15.75" customHeight="1">
      <c r="A19" s="128"/>
      <c r="B19" s="177" t="s">
        <v>143</v>
      </c>
      <c r="C19" s="163">
        <f>PTCA!C5</f>
        <v>23600</v>
      </c>
      <c r="D19" s="181">
        <f>PTCA!D5</f>
        <v>7425.58</v>
      </c>
      <c r="E19" s="153">
        <f>PTCA!E5</f>
        <v>0</v>
      </c>
      <c r="F19" s="153">
        <f>PTCA!F5</f>
        <v>19000</v>
      </c>
      <c r="G19" s="147">
        <f t="shared" si="0"/>
        <v>-4600</v>
      </c>
      <c r="H19" s="148"/>
      <c r="I19" s="156">
        <f>PTCA!K5</f>
        <v>0</v>
      </c>
      <c r="J19" s="156">
        <f>PTCA!L5</f>
        <v>1750</v>
      </c>
      <c r="K19" s="156">
        <f>PTCA!M5</f>
        <v>1750</v>
      </c>
      <c r="L19" s="156">
        <f>PTCA!N5</f>
        <v>0</v>
      </c>
      <c r="M19" s="156">
        <f>PTCA!O5</f>
        <v>0</v>
      </c>
      <c r="N19" s="156">
        <f>PTCA!P5</f>
        <v>0</v>
      </c>
      <c r="O19" s="156">
        <f>PTCA!Q5</f>
        <v>4333.333333333333</v>
      </c>
      <c r="P19" s="156">
        <f>PTCA!R5</f>
        <v>4333.333333333333</v>
      </c>
      <c r="Q19" s="156">
        <f>PTCA!S5</f>
        <v>4333.333333333333</v>
      </c>
      <c r="R19" s="156">
        <f>PTCA!T5</f>
        <v>2500</v>
      </c>
      <c r="S19" s="156">
        <f>PTCA!U5</f>
        <v>0</v>
      </c>
      <c r="T19" s="156">
        <f>PTCA!V5</f>
        <v>0</v>
      </c>
      <c r="U19" s="182"/>
      <c r="V19" s="180">
        <f t="shared" si="4"/>
        <v>19000</v>
      </c>
    </row>
    <row r="20" spans="1:24" ht="15.75" customHeight="1">
      <c r="A20" s="128"/>
      <c r="B20" s="177" t="s">
        <v>144</v>
      </c>
      <c r="C20" s="163">
        <f>'Elem Campus'!C5</f>
        <v>0</v>
      </c>
      <c r="D20" s="181">
        <f>'Elem Campus'!D5</f>
        <v>147</v>
      </c>
      <c r="E20" s="153">
        <f>'Elem Campus'!E5</f>
        <v>0</v>
      </c>
      <c r="F20" s="153">
        <f>'Elem Campus'!F5</f>
        <v>200</v>
      </c>
      <c r="G20" s="147">
        <f t="shared" si="0"/>
        <v>200</v>
      </c>
      <c r="H20" s="148"/>
      <c r="I20" s="149">
        <f>'Elem Campus'!K5</f>
        <v>0</v>
      </c>
      <c r="J20" s="149">
        <f>'Elem Campus'!L5</f>
        <v>0</v>
      </c>
      <c r="K20" s="149">
        <f>'Elem Campus'!M5</f>
        <v>0</v>
      </c>
      <c r="L20" s="149">
        <f>'Elem Campus'!N5</f>
        <v>0</v>
      </c>
      <c r="M20" s="149">
        <f>'Elem Campus'!O5</f>
        <v>0</v>
      </c>
      <c r="N20" s="149">
        <f>'Elem Campus'!P5</f>
        <v>200</v>
      </c>
      <c r="O20" s="149">
        <f>'Elem Campus'!Q5</f>
        <v>0</v>
      </c>
      <c r="P20" s="149">
        <f>'Elem Campus'!R5</f>
        <v>0</v>
      </c>
      <c r="Q20" s="149">
        <f>'Elem Campus'!S5</f>
        <v>0</v>
      </c>
      <c r="R20" s="149">
        <f>'Elem Campus'!T5</f>
        <v>0</v>
      </c>
      <c r="S20" s="149">
        <f>'Elem Campus'!U5</f>
        <v>0</v>
      </c>
      <c r="T20" s="149">
        <f>'Elem Campus'!V5</f>
        <v>0</v>
      </c>
      <c r="U20" s="183"/>
      <c r="V20" s="184">
        <f t="shared" si="4"/>
        <v>200</v>
      </c>
    </row>
    <row r="21" spans="1:24" ht="15.75" customHeight="1">
      <c r="A21" s="128"/>
      <c r="B21" s="177" t="s">
        <v>145</v>
      </c>
      <c r="C21" s="163">
        <f>'Media Center - EC'!C5</f>
        <v>0</v>
      </c>
      <c r="D21" s="181">
        <f>'Media Center - EC'!D5</f>
        <v>685</v>
      </c>
      <c r="E21" s="153">
        <f>'Media Center - EC'!E5</f>
        <v>0</v>
      </c>
      <c r="F21" s="153">
        <f>'Media Center - EC'!F5</f>
        <v>1000</v>
      </c>
      <c r="G21" s="147">
        <f t="shared" si="0"/>
        <v>1000</v>
      </c>
      <c r="H21" s="148"/>
      <c r="I21" s="158">
        <f>'Media Center - EC'!K5</f>
        <v>0</v>
      </c>
      <c r="J21" s="158">
        <f>'Media Center - EC'!L5</f>
        <v>0</v>
      </c>
      <c r="K21" s="158">
        <f>'Media Center - EC'!M5</f>
        <v>0</v>
      </c>
      <c r="L21" s="158">
        <f>'Media Center - EC'!N5</f>
        <v>0</v>
      </c>
      <c r="M21" s="158">
        <f>'Media Center - EC'!O5</f>
        <v>0</v>
      </c>
      <c r="N21" s="158">
        <f>'Media Center - EC'!P5</f>
        <v>500</v>
      </c>
      <c r="O21" s="158">
        <f>'Media Center - EC'!Q5</f>
        <v>0</v>
      </c>
      <c r="P21" s="158">
        <f>'Media Center - EC'!R5</f>
        <v>0</v>
      </c>
      <c r="Q21" s="158">
        <f>'Media Center - EC'!S5</f>
        <v>0</v>
      </c>
      <c r="R21" s="158">
        <f>'Media Center - EC'!T5</f>
        <v>500</v>
      </c>
      <c r="S21" s="158">
        <f>'Media Center - EC'!U5</f>
        <v>0</v>
      </c>
      <c r="T21" s="158">
        <f>'Media Center - EC'!V5</f>
        <v>0</v>
      </c>
      <c r="U21" s="183"/>
      <c r="V21" s="184">
        <f t="shared" si="4"/>
        <v>1000</v>
      </c>
    </row>
    <row r="22" spans="1:24" ht="15.75" customHeight="1">
      <c r="A22" s="185"/>
      <c r="B22" s="37" t="s">
        <v>146</v>
      </c>
      <c r="C22" s="186">
        <f>'Mar Comm'!C8</f>
        <v>0</v>
      </c>
      <c r="D22" s="187">
        <f>'Mar Comm'!D8</f>
        <v>0</v>
      </c>
      <c r="E22" s="188">
        <f>'Mar Comm'!E8</f>
        <v>0</v>
      </c>
      <c r="F22" s="188">
        <f>'Mar Comm'!F8</f>
        <v>9000</v>
      </c>
      <c r="G22" s="147">
        <f t="shared" si="0"/>
        <v>9000</v>
      </c>
      <c r="H22" s="148"/>
      <c r="I22" s="167">
        <f>'Mar Comm'!K8</f>
        <v>0</v>
      </c>
      <c r="J22" s="167">
        <f>'Mar Comm'!L8</f>
        <v>300</v>
      </c>
      <c r="K22" s="167">
        <f>'Mar Comm'!M8</f>
        <v>300</v>
      </c>
      <c r="L22" s="167">
        <f>'Mar Comm'!N8</f>
        <v>300</v>
      </c>
      <c r="M22" s="167">
        <f>'Mar Comm'!O8</f>
        <v>3300</v>
      </c>
      <c r="N22" s="167">
        <f>'Mar Comm'!P8</f>
        <v>300</v>
      </c>
      <c r="O22" s="167">
        <f>'Mar Comm'!Q8</f>
        <v>300</v>
      </c>
      <c r="P22" s="167">
        <f>'Mar Comm'!R8</f>
        <v>1050</v>
      </c>
      <c r="Q22" s="167">
        <f>'Mar Comm'!S8</f>
        <v>1050</v>
      </c>
      <c r="R22" s="167">
        <f>'Mar Comm'!T8</f>
        <v>1050</v>
      </c>
      <c r="S22" s="167">
        <f>'Mar Comm'!U8</f>
        <v>1050</v>
      </c>
      <c r="T22" s="167">
        <f>'Mar Comm'!V8</f>
        <v>0</v>
      </c>
      <c r="U22" s="169"/>
      <c r="V22" s="151">
        <f t="shared" si="4"/>
        <v>9000</v>
      </c>
    </row>
    <row r="23" spans="1:24" ht="15.75" customHeight="1">
      <c r="A23" s="128"/>
      <c r="B23" s="177" t="s">
        <v>147</v>
      </c>
      <c r="C23" s="163">
        <f>'Middle Campus'!C5</f>
        <v>0</v>
      </c>
      <c r="D23" s="181">
        <f>'Middle Campus'!D5</f>
        <v>992.71</v>
      </c>
      <c r="E23" s="153">
        <f>'Middle Campus'!E5</f>
        <v>1000</v>
      </c>
      <c r="F23" s="153">
        <f>'Middle Campus'!F5</f>
        <v>4000</v>
      </c>
      <c r="G23" s="147">
        <f t="shared" si="0"/>
        <v>4000</v>
      </c>
      <c r="H23" s="148"/>
      <c r="I23" s="149">
        <f>'Middle Campus'!K5</f>
        <v>0</v>
      </c>
      <c r="J23" s="149">
        <f>'Middle Campus'!L5</f>
        <v>0</v>
      </c>
      <c r="K23" s="149">
        <f>'Middle Campus'!M5</f>
        <v>0</v>
      </c>
      <c r="L23" s="149">
        <f>'Middle Campus'!N5</f>
        <v>0</v>
      </c>
      <c r="M23" s="149">
        <f>'Middle Campus'!O5</f>
        <v>2000</v>
      </c>
      <c r="N23" s="149">
        <f>'Middle Campus'!P5</f>
        <v>0</v>
      </c>
      <c r="O23" s="149">
        <f>'Middle Campus'!Q5</f>
        <v>0</v>
      </c>
      <c r="P23" s="149">
        <f>'Middle Campus'!R5</f>
        <v>0</v>
      </c>
      <c r="Q23" s="149">
        <f>'Middle Campus'!S5</f>
        <v>2000</v>
      </c>
      <c r="R23" s="149">
        <f>'Middle Campus'!T5</f>
        <v>0</v>
      </c>
      <c r="S23" s="149">
        <f>'Middle Campus'!U5</f>
        <v>0</v>
      </c>
      <c r="T23" s="149">
        <f>'Middle Campus'!V5</f>
        <v>0</v>
      </c>
      <c r="U23" s="183"/>
      <c r="V23" s="184">
        <f t="shared" si="4"/>
        <v>4000</v>
      </c>
    </row>
    <row r="24" spans="1:24" ht="15.75" customHeight="1">
      <c r="A24" s="128"/>
      <c r="B24" s="177" t="s">
        <v>148</v>
      </c>
      <c r="C24" s="163">
        <f>'Elem Campus'!C6+'Elem Campus'!C7+'Middle Campus'!C6+'Middle Campus'!C7</f>
        <v>80000</v>
      </c>
      <c r="D24" s="181">
        <f>'Elem Campus'!D6+'Elem Campus'!D7+'Middle Campus'!D6+'Middle Campus'!D7</f>
        <v>50399.55</v>
      </c>
      <c r="E24" s="153">
        <f>'Elem Campus'!E6+'Elem Campus'!E7+'Middle Campus'!E6+'Middle Campus'!E7</f>
        <v>56225.25</v>
      </c>
      <c r="F24" s="153">
        <f>'Elem Campus'!F6+'Elem Campus'!F7+'Middle Campus'!F6+'Middle Campus'!F7</f>
        <v>113800</v>
      </c>
      <c r="G24" s="147">
        <f t="shared" si="0"/>
        <v>33800</v>
      </c>
      <c r="H24" s="148"/>
      <c r="I24" s="149">
        <f>'Elem Campus'!K6+'Elem Campus'!K7+'Middle Campus'!K6+'Middle Campus'!K7</f>
        <v>0</v>
      </c>
      <c r="J24" s="149">
        <f>'Elem Campus'!L6+'Elem Campus'!L7+'Middle Campus'!L6+'Middle Campus'!L7</f>
        <v>0</v>
      </c>
      <c r="K24" s="149">
        <f>'Elem Campus'!M6+'Elem Campus'!M7+'Middle Campus'!M6+'Middle Campus'!M7</f>
        <v>4715</v>
      </c>
      <c r="L24" s="149">
        <f>'Elem Campus'!N6+'Elem Campus'!N7+'Middle Campus'!N6+'Middle Campus'!N7</f>
        <v>15143.571428571429</v>
      </c>
      <c r="M24" s="149">
        <f>'Elem Campus'!O6+'Elem Campus'!O7+'Middle Campus'!O6+'Middle Campus'!O7</f>
        <v>15143.571428571429</v>
      </c>
      <c r="N24" s="149">
        <f>'Elem Campus'!P6+'Elem Campus'!P7+'Middle Campus'!P6+'Middle Campus'!P7</f>
        <v>14643.571428571429</v>
      </c>
      <c r="O24" s="149">
        <f>'Elem Campus'!Q6+'Elem Campus'!Q7+'Middle Campus'!Q6+'Middle Campus'!Q7</f>
        <v>16243.571428571429</v>
      </c>
      <c r="P24" s="149">
        <f>'Elem Campus'!R6+'Elem Campus'!R7+'Middle Campus'!R6+'Middle Campus'!R7</f>
        <v>17743.571428571428</v>
      </c>
      <c r="Q24" s="149">
        <f>'Elem Campus'!S6+'Elem Campus'!S7+'Middle Campus'!S6+'Middle Campus'!S7</f>
        <v>16238.571428571429</v>
      </c>
      <c r="R24" s="149">
        <f>'Elem Campus'!T6+'Elem Campus'!T7+'Middle Campus'!T6+'Middle Campus'!T7</f>
        <v>13928.571428571429</v>
      </c>
      <c r="S24" s="149">
        <f>'Elem Campus'!U6+'Elem Campus'!U7+'Middle Campus'!U6+'Middle Campus'!U7</f>
        <v>0</v>
      </c>
      <c r="T24" s="149">
        <f>'Elem Campus'!V6+'Elem Campus'!V7+'Middle Campus'!V6+'Middle Campus'!V7</f>
        <v>0</v>
      </c>
      <c r="U24" s="183"/>
      <c r="V24" s="184">
        <f t="shared" si="4"/>
        <v>113800</v>
      </c>
    </row>
    <row r="25" spans="1:24" ht="15.75" customHeight="1">
      <c r="A25" s="128"/>
      <c r="B25" s="177" t="s">
        <v>149</v>
      </c>
      <c r="C25" s="163">
        <f>Athletics!C5</f>
        <v>15000</v>
      </c>
      <c r="D25" s="181">
        <f>Athletics!D5</f>
        <v>10169.4</v>
      </c>
      <c r="E25" s="153">
        <f>Athletics!E5</f>
        <v>7000</v>
      </c>
      <c r="F25" s="153">
        <f>Athletics!F5</f>
        <v>20000</v>
      </c>
      <c r="G25" s="147">
        <f t="shared" si="0"/>
        <v>5000</v>
      </c>
      <c r="H25" s="148"/>
      <c r="I25" s="149">
        <f>Athletics!K5</f>
        <v>2000</v>
      </c>
      <c r="J25" s="149">
        <f>Athletics!L5</f>
        <v>2000</v>
      </c>
      <c r="K25" s="149">
        <f>Athletics!M5</f>
        <v>2000</v>
      </c>
      <c r="L25" s="149">
        <f>Athletics!N5</f>
        <v>2000</v>
      </c>
      <c r="M25" s="149">
        <f>Athletics!O5</f>
        <v>2000</v>
      </c>
      <c r="N25" s="149">
        <f>Athletics!P5</f>
        <v>0</v>
      </c>
      <c r="O25" s="149">
        <f>Athletics!Q5</f>
        <v>3000</v>
      </c>
      <c r="P25" s="149">
        <f>Athletics!R5</f>
        <v>3000</v>
      </c>
      <c r="Q25" s="149">
        <f>Athletics!S5</f>
        <v>2000</v>
      </c>
      <c r="R25" s="149">
        <f>Athletics!T5</f>
        <v>1000</v>
      </c>
      <c r="S25" s="149">
        <f>Athletics!U5</f>
        <v>1000</v>
      </c>
      <c r="T25" s="149">
        <f>Athletics!V5</f>
        <v>0</v>
      </c>
      <c r="U25" s="183"/>
      <c r="V25" s="184">
        <f t="shared" si="4"/>
        <v>20000</v>
      </c>
    </row>
    <row r="26" spans="1:24" ht="15.75" customHeight="1">
      <c r="A26" s="128"/>
      <c r="B26" s="177" t="s">
        <v>150</v>
      </c>
      <c r="C26" s="163">
        <f>'Nutrition Program'!C6</f>
        <v>240000</v>
      </c>
      <c r="D26" s="181">
        <f>'Nutrition Program'!D6</f>
        <v>144183</v>
      </c>
      <c r="E26" s="153">
        <f>'Nutrition Program'!E6</f>
        <v>135000</v>
      </c>
      <c r="F26" s="153">
        <f>'Nutrition Program'!F6</f>
        <v>240000</v>
      </c>
      <c r="G26" s="147">
        <f t="shared" si="0"/>
        <v>0</v>
      </c>
      <c r="H26" s="148"/>
      <c r="I26" s="149">
        <f>'Nutrition Program'!K6</f>
        <v>5333</v>
      </c>
      <c r="J26" s="149">
        <f>'Nutrition Program'!L6</f>
        <v>29333</v>
      </c>
      <c r="K26" s="149">
        <f>'Nutrition Program'!M6</f>
        <v>25333</v>
      </c>
      <c r="L26" s="149">
        <f>'Nutrition Program'!N6</f>
        <v>24000</v>
      </c>
      <c r="M26" s="149">
        <f>'Nutrition Program'!O6</f>
        <v>20000</v>
      </c>
      <c r="N26" s="149">
        <f>'Nutrition Program'!P6</f>
        <v>20000</v>
      </c>
      <c r="O26" s="149">
        <f>'Nutrition Program'!Q6</f>
        <v>24000</v>
      </c>
      <c r="P26" s="149">
        <f>'Nutrition Program'!R6</f>
        <v>20000</v>
      </c>
      <c r="Q26" s="149">
        <f>'Nutrition Program'!S6</f>
        <v>26667</v>
      </c>
      <c r="R26" s="149">
        <f>'Nutrition Program'!T6</f>
        <v>22667</v>
      </c>
      <c r="S26" s="149">
        <f>'Nutrition Program'!U6</f>
        <v>22667</v>
      </c>
      <c r="T26" s="149">
        <f>'Nutrition Program'!V6</f>
        <v>0</v>
      </c>
      <c r="U26" s="154"/>
      <c r="V26" s="184">
        <f t="shared" si="4"/>
        <v>240000</v>
      </c>
    </row>
    <row r="27" spans="1:24" ht="15.75" customHeight="1">
      <c r="A27" s="128"/>
      <c r="B27" s="177" t="s">
        <v>30</v>
      </c>
      <c r="C27" s="163">
        <f>MACAL!C5</f>
        <v>35000</v>
      </c>
      <c r="D27" s="181">
        <f>MACAL!D5</f>
        <v>58102.14</v>
      </c>
      <c r="E27" s="153">
        <f>MACAL!E5</f>
        <v>12500</v>
      </c>
      <c r="F27" s="188">
        <f>MACAL!F5</f>
        <v>102000</v>
      </c>
      <c r="G27" s="147">
        <f t="shared" si="0"/>
        <v>67000</v>
      </c>
      <c r="H27" s="148"/>
      <c r="I27" s="149">
        <f>MACAL!K5</f>
        <v>0</v>
      </c>
      <c r="J27" s="149">
        <f>MACAL!L5</f>
        <v>36500</v>
      </c>
      <c r="K27" s="149">
        <f>MACAL!M5</f>
        <v>7500</v>
      </c>
      <c r="L27" s="149">
        <f>MACAL!N5</f>
        <v>7500</v>
      </c>
      <c r="M27" s="149">
        <f>MACAL!O5</f>
        <v>27000</v>
      </c>
      <c r="N27" s="149">
        <f>MACAL!P5</f>
        <v>5000</v>
      </c>
      <c r="O27" s="149">
        <f>MACAL!Q5</f>
        <v>7500</v>
      </c>
      <c r="P27" s="149">
        <f>MACAL!R5</f>
        <v>6000</v>
      </c>
      <c r="Q27" s="149">
        <f>MACAL!S5</f>
        <v>5000</v>
      </c>
      <c r="R27" s="149">
        <f>MACAL!T5</f>
        <v>0</v>
      </c>
      <c r="S27" s="149">
        <f>MACAL!U5</f>
        <v>0</v>
      </c>
      <c r="T27" s="149">
        <f>MACAL!V5</f>
        <v>0</v>
      </c>
      <c r="U27" s="154"/>
      <c r="V27" s="184">
        <f t="shared" si="4"/>
        <v>102000</v>
      </c>
    </row>
    <row r="28" spans="1:24" ht="15.75" customHeight="1">
      <c r="A28" s="128"/>
      <c r="B28" s="177" t="s">
        <v>151</v>
      </c>
      <c r="C28" s="163">
        <f>'Central Office'!C12</f>
        <v>25000</v>
      </c>
      <c r="D28" s="181">
        <f>'Central Office'!D12</f>
        <v>63978.1</v>
      </c>
      <c r="E28" s="153">
        <f>'Central Office'!E12</f>
        <v>6000</v>
      </c>
      <c r="F28" s="153">
        <f>'Central Office'!F12</f>
        <v>25000</v>
      </c>
      <c r="G28" s="147">
        <f t="shared" si="0"/>
        <v>0</v>
      </c>
      <c r="H28" s="148"/>
      <c r="I28" s="149">
        <f>'Central Office'!K12</f>
        <v>0</v>
      </c>
      <c r="J28" s="149">
        <f>'Central Office'!L12</f>
        <v>2500</v>
      </c>
      <c r="K28" s="149">
        <f>'Central Office'!M12</f>
        <v>2500</v>
      </c>
      <c r="L28" s="149">
        <f>'Central Office'!N12</f>
        <v>2500</v>
      </c>
      <c r="M28" s="149">
        <f>'Central Office'!O12</f>
        <v>2500</v>
      </c>
      <c r="N28" s="149">
        <f>'Central Office'!P12</f>
        <v>2500</v>
      </c>
      <c r="O28" s="149">
        <f>'Central Office'!Q12</f>
        <v>2500</v>
      </c>
      <c r="P28" s="149">
        <f>'Central Office'!R12</f>
        <v>2500</v>
      </c>
      <c r="Q28" s="149">
        <f>'Central Office'!S12</f>
        <v>2500</v>
      </c>
      <c r="R28" s="149">
        <f>'Central Office'!T12</f>
        <v>2500</v>
      </c>
      <c r="S28" s="149">
        <f>'Central Office'!U12</f>
        <v>2500</v>
      </c>
      <c r="T28" s="149">
        <f>'Central Office'!V12</f>
        <v>0</v>
      </c>
      <c r="U28" s="143"/>
      <c r="V28" s="184">
        <f t="shared" si="4"/>
        <v>25000</v>
      </c>
    </row>
    <row r="29" spans="1:24" ht="15.75" customHeight="1">
      <c r="A29" s="128"/>
      <c r="B29" s="177" t="s">
        <v>152</v>
      </c>
      <c r="C29" s="163">
        <f>'Central Office'!C13</f>
        <v>0</v>
      </c>
      <c r="D29" s="181">
        <f>'Central Office'!D13</f>
        <v>38634.270000000004</v>
      </c>
      <c r="E29" s="153">
        <f>'Central Office'!E13</f>
        <v>1000</v>
      </c>
      <c r="F29" s="153">
        <f>'Central Office'!F13</f>
        <v>20000</v>
      </c>
      <c r="G29" s="147">
        <f t="shared" si="0"/>
        <v>20000</v>
      </c>
      <c r="H29" s="148"/>
      <c r="I29" s="149">
        <f>'Central Office'!K13</f>
        <v>1666.6666666666667</v>
      </c>
      <c r="J29" s="149">
        <f>'Central Office'!L13</f>
        <v>1666.6666666666667</v>
      </c>
      <c r="K29" s="149">
        <f>'Central Office'!M13</f>
        <v>1666.6666666666667</v>
      </c>
      <c r="L29" s="149">
        <f>'Central Office'!N13</f>
        <v>1666.6666666666667</v>
      </c>
      <c r="M29" s="149">
        <f>'Central Office'!O13</f>
        <v>1666.6666666666667</v>
      </c>
      <c r="N29" s="149">
        <f>'Central Office'!P13</f>
        <v>1666.6666666666667</v>
      </c>
      <c r="O29" s="149">
        <f>'Central Office'!Q13</f>
        <v>1666.6666666666667</v>
      </c>
      <c r="P29" s="149">
        <f>'Central Office'!R13</f>
        <v>1666.6666666666667</v>
      </c>
      <c r="Q29" s="149">
        <f>'Central Office'!S13</f>
        <v>1666.6666666666667</v>
      </c>
      <c r="R29" s="149">
        <f>'Central Office'!T13</f>
        <v>1666.6666666666667</v>
      </c>
      <c r="S29" s="149">
        <f>'Central Office'!U13</f>
        <v>1666.6666666666667</v>
      </c>
      <c r="T29" s="149">
        <f>'Central Office'!V13</f>
        <v>1666.6666666666667</v>
      </c>
      <c r="U29" s="154"/>
      <c r="V29" s="184">
        <f t="shared" si="4"/>
        <v>20000</v>
      </c>
    </row>
    <row r="30" spans="1:24" ht="15.75" customHeight="1">
      <c r="A30" s="128" t="s">
        <v>153</v>
      </c>
      <c r="B30" s="128"/>
      <c r="C30" s="189">
        <f t="shared" ref="C30:F30" si="5">SUM(C7:C16)+C17+SUM(C26:C29)</f>
        <v>14538244</v>
      </c>
      <c r="D30" s="190">
        <f t="shared" si="5"/>
        <v>8794437.0700000003</v>
      </c>
      <c r="E30" s="190">
        <f t="shared" si="5"/>
        <v>8883874.3399999999</v>
      </c>
      <c r="F30" s="190">
        <f t="shared" si="5"/>
        <v>16437508.324999999</v>
      </c>
      <c r="G30" s="191">
        <f t="shared" si="0"/>
        <v>1899264.3249999993</v>
      </c>
      <c r="H30" s="192"/>
      <c r="I30" s="193">
        <f t="shared" ref="I30:T30" si="6">SUM(I7:I16)+I17+SUM(I26:I29)</f>
        <v>22889.666666666668</v>
      </c>
      <c r="J30" s="193">
        <f t="shared" si="6"/>
        <v>1639395.8991666667</v>
      </c>
      <c r="K30" s="193">
        <f t="shared" si="6"/>
        <v>1606193.8991666667</v>
      </c>
      <c r="L30" s="193">
        <f t="shared" si="6"/>
        <v>1613417.470595238</v>
      </c>
      <c r="M30" s="193">
        <f t="shared" si="6"/>
        <v>1772718.470595238</v>
      </c>
      <c r="N30" s="193">
        <f t="shared" si="6"/>
        <v>1624750.470595238</v>
      </c>
      <c r="O30" s="193">
        <f t="shared" si="6"/>
        <v>1606850.8039285715</v>
      </c>
      <c r="P30" s="193">
        <f t="shared" si="6"/>
        <v>1600683.8039285715</v>
      </c>
      <c r="Q30" s="193">
        <f t="shared" si="6"/>
        <v>1765574.8039285715</v>
      </c>
      <c r="R30" s="193">
        <f t="shared" si="6"/>
        <v>1594147.470595238</v>
      </c>
      <c r="S30" s="193">
        <f t="shared" si="6"/>
        <v>1581218.8991666667</v>
      </c>
      <c r="T30" s="193">
        <f t="shared" si="6"/>
        <v>9666.6666666666661</v>
      </c>
      <c r="U30" s="194"/>
      <c r="V30" s="193">
        <f>SUM(V7:V16)+V17+SUM(V26:V29)</f>
        <v>16437508.324999999</v>
      </c>
      <c r="W30" s="195"/>
      <c r="X30" s="195"/>
    </row>
    <row r="31" spans="1:24" ht="15.75" customHeight="1">
      <c r="A31" s="128"/>
      <c r="B31" s="129"/>
      <c r="C31" s="129"/>
      <c r="D31" s="135"/>
      <c r="E31" s="135"/>
      <c r="F31" s="135"/>
      <c r="G31" s="135"/>
      <c r="H31" s="135"/>
      <c r="I31" s="196"/>
      <c r="J31" s="196"/>
      <c r="K31" s="196"/>
      <c r="L31" s="196"/>
      <c r="M31" s="196"/>
      <c r="N31" s="196"/>
      <c r="O31" s="197"/>
      <c r="P31" s="197"/>
      <c r="Q31" s="197"/>
      <c r="R31" s="197"/>
      <c r="S31" s="197"/>
      <c r="T31" s="197"/>
      <c r="U31" s="198"/>
      <c r="V31" s="198"/>
    </row>
    <row r="32" spans="1:24" ht="39.75" customHeight="1">
      <c r="A32" s="128" t="s">
        <v>154</v>
      </c>
      <c r="B32" s="129"/>
      <c r="C32" s="137" t="s">
        <v>127</v>
      </c>
      <c r="D32" s="140" t="s">
        <v>128</v>
      </c>
      <c r="E32" s="140" t="s">
        <v>129</v>
      </c>
      <c r="F32" s="140" t="s">
        <v>130</v>
      </c>
      <c r="G32" s="140" t="s">
        <v>131</v>
      </c>
      <c r="H32" s="141"/>
      <c r="I32" s="142">
        <v>45474</v>
      </c>
      <c r="J32" s="199">
        <v>45505</v>
      </c>
      <c r="K32" s="199">
        <v>45536</v>
      </c>
      <c r="L32" s="199">
        <v>45566</v>
      </c>
      <c r="M32" s="199">
        <v>45597</v>
      </c>
      <c r="N32" s="199">
        <v>45627</v>
      </c>
      <c r="O32" s="200">
        <v>45658</v>
      </c>
      <c r="P32" s="200">
        <v>45689</v>
      </c>
      <c r="Q32" s="200">
        <v>45717</v>
      </c>
      <c r="R32" s="200">
        <v>45748</v>
      </c>
      <c r="S32" s="200">
        <v>45778</v>
      </c>
      <c r="T32" s="200">
        <v>45809</v>
      </c>
      <c r="U32" s="201"/>
      <c r="V32" s="202" t="s">
        <v>132</v>
      </c>
    </row>
    <row r="33" spans="1:22" ht="15.75" customHeight="1">
      <c r="A33" s="128"/>
      <c r="B33" s="185" t="s">
        <v>39</v>
      </c>
      <c r="C33" s="203">
        <f t="shared" ref="C33:G33" si="7">SUM(C34:C36)+SUM(C47:C51)</f>
        <v>12293774</v>
      </c>
      <c r="D33" s="204">
        <f t="shared" si="7"/>
        <v>6529113.0800000001</v>
      </c>
      <c r="E33" s="204">
        <f t="shared" si="7"/>
        <v>7244383</v>
      </c>
      <c r="F33" s="204">
        <f t="shared" si="7"/>
        <v>13925623.267999999</v>
      </c>
      <c r="G33" s="204">
        <f t="shared" si="7"/>
        <v>1631849.2680000002</v>
      </c>
      <c r="H33" s="192"/>
      <c r="I33" s="205">
        <f t="shared" ref="I33:T33" si="8">SUM(I34:I36)+SUM(I47:I51)</f>
        <v>1097071.1056666668</v>
      </c>
      <c r="J33" s="205">
        <f t="shared" si="8"/>
        <v>1156543.1056666668</v>
      </c>
      <c r="K33" s="205">
        <f t="shared" si="8"/>
        <v>1300543.1056666668</v>
      </c>
      <c r="L33" s="205">
        <f t="shared" si="8"/>
        <v>1167168.1056666668</v>
      </c>
      <c r="M33" s="205">
        <f t="shared" si="8"/>
        <v>1162043.1056666668</v>
      </c>
      <c r="N33" s="205">
        <f t="shared" si="8"/>
        <v>1154543.1056666668</v>
      </c>
      <c r="O33" s="205">
        <f t="shared" si="8"/>
        <v>1155043.1056666668</v>
      </c>
      <c r="P33" s="205">
        <f t="shared" si="8"/>
        <v>1158543.1056666668</v>
      </c>
      <c r="Q33" s="205">
        <f t="shared" si="8"/>
        <v>1165168.1056666668</v>
      </c>
      <c r="R33" s="205">
        <f t="shared" si="8"/>
        <v>1153543.1056666668</v>
      </c>
      <c r="S33" s="205">
        <f t="shared" si="8"/>
        <v>1162943.1056666668</v>
      </c>
      <c r="T33" s="205">
        <f t="shared" si="8"/>
        <v>1092471.1056666668</v>
      </c>
      <c r="U33" s="206"/>
      <c r="V33" s="204">
        <f>SUM(V34:V36)+SUM(V47:V51)</f>
        <v>13925623.267999999</v>
      </c>
    </row>
    <row r="34" spans="1:22" ht="15.75" customHeight="1">
      <c r="A34" s="128"/>
      <c r="B34" s="207" t="s">
        <v>155</v>
      </c>
      <c r="C34" s="208">
        <f>'Central Office'!C18</f>
        <v>8231938</v>
      </c>
      <c r="D34" s="209">
        <f>'Central Office'!D18</f>
        <v>4173547.8300000005</v>
      </c>
      <c r="E34" s="209">
        <f>'Central Office'!E18</f>
        <v>5000000</v>
      </c>
      <c r="F34" s="209">
        <f>'Central Office'!F18</f>
        <v>9205912</v>
      </c>
      <c r="G34" s="210">
        <f t="shared" ref="G34:G174" si="9">F34-C34</f>
        <v>973974</v>
      </c>
      <c r="H34" s="211"/>
      <c r="I34" s="212">
        <f>'Central Office'!K18</f>
        <v>762909.33333333337</v>
      </c>
      <c r="J34" s="212">
        <f>'Central Office'!L18</f>
        <v>768009.33333333337</v>
      </c>
      <c r="K34" s="212">
        <f>'Central Office'!M18</f>
        <v>768009.33333333337</v>
      </c>
      <c r="L34" s="212">
        <f>'Central Office'!N18</f>
        <v>768009.33333333337</v>
      </c>
      <c r="M34" s="212">
        <f>'Central Office'!O18</f>
        <v>768009.33333333337</v>
      </c>
      <c r="N34" s="212">
        <f>'Central Office'!P18</f>
        <v>768009.33333333337</v>
      </c>
      <c r="O34" s="212">
        <f>'Central Office'!Q18</f>
        <v>768009.33333333337</v>
      </c>
      <c r="P34" s="212">
        <f>'Central Office'!R18</f>
        <v>768009.33333333337</v>
      </c>
      <c r="Q34" s="212">
        <f>'Central Office'!S18</f>
        <v>768009.33333333337</v>
      </c>
      <c r="R34" s="212">
        <f>'Central Office'!T18</f>
        <v>768009.33333333337</v>
      </c>
      <c r="S34" s="212">
        <f>'Central Office'!U18</f>
        <v>768009.33333333337</v>
      </c>
      <c r="T34" s="212">
        <f>'Central Office'!V18</f>
        <v>762909.33333333337</v>
      </c>
      <c r="U34" s="213"/>
      <c r="V34" s="214">
        <f t="shared" ref="V34:V35" si="10">SUM(I34:T34)</f>
        <v>9205912</v>
      </c>
    </row>
    <row r="35" spans="1:22" ht="15.75" customHeight="1">
      <c r="A35" s="128"/>
      <c r="B35" s="207" t="s">
        <v>156</v>
      </c>
      <c r="C35" s="208">
        <v>0</v>
      </c>
      <c r="D35" s="215">
        <f>'Central Office'!D21</f>
        <v>170000</v>
      </c>
      <c r="E35" s="215">
        <f>'Central Office'!E21</f>
        <v>0</v>
      </c>
      <c r="F35" s="215">
        <f>'Central Office'!F21</f>
        <v>143500</v>
      </c>
      <c r="G35" s="210">
        <f t="shared" si="9"/>
        <v>143500</v>
      </c>
      <c r="H35" s="211"/>
      <c r="I35" s="212">
        <f>'Central Office'!K21</f>
        <v>0</v>
      </c>
      <c r="J35" s="212">
        <f>'Central Office'!L21</f>
        <v>0</v>
      </c>
      <c r="K35" s="212">
        <f>'Central Office'!M21</f>
        <v>143500</v>
      </c>
      <c r="L35" s="212">
        <f>'Central Office'!N21</f>
        <v>0</v>
      </c>
      <c r="M35" s="212">
        <v>0</v>
      </c>
      <c r="N35" s="212">
        <v>0</v>
      </c>
      <c r="O35" s="212">
        <v>0</v>
      </c>
      <c r="P35" s="212">
        <v>0</v>
      </c>
      <c r="Q35" s="212">
        <v>0</v>
      </c>
      <c r="R35" s="212">
        <v>0</v>
      </c>
      <c r="S35" s="212">
        <v>0</v>
      </c>
      <c r="T35" s="212">
        <v>0</v>
      </c>
      <c r="U35" s="213"/>
      <c r="V35" s="214">
        <f t="shared" si="10"/>
        <v>143500</v>
      </c>
    </row>
    <row r="36" spans="1:22" ht="15.75" customHeight="1">
      <c r="A36" s="128"/>
      <c r="B36" s="207" t="s">
        <v>157</v>
      </c>
      <c r="C36" s="216">
        <f t="shared" ref="C36:F36" si="11">SUM(C37:C46)</f>
        <v>629200</v>
      </c>
      <c r="D36" s="217">
        <f t="shared" si="11"/>
        <v>464502.15</v>
      </c>
      <c r="E36" s="217">
        <f t="shared" si="11"/>
        <v>492350</v>
      </c>
      <c r="F36" s="217">
        <f t="shared" si="11"/>
        <v>697190</v>
      </c>
      <c r="G36" s="218">
        <f t="shared" si="9"/>
        <v>67990</v>
      </c>
      <c r="H36" s="219"/>
      <c r="I36" s="220">
        <f t="shared" ref="I36:T36" si="12">SUM(I37:I46)</f>
        <v>14260</v>
      </c>
      <c r="J36" s="220">
        <f t="shared" si="12"/>
        <v>64612</v>
      </c>
      <c r="K36" s="220">
        <f t="shared" si="12"/>
        <v>65112</v>
      </c>
      <c r="L36" s="220">
        <f t="shared" si="12"/>
        <v>75237</v>
      </c>
      <c r="M36" s="220">
        <f t="shared" si="12"/>
        <v>70112</v>
      </c>
      <c r="N36" s="220">
        <f t="shared" si="12"/>
        <v>62612</v>
      </c>
      <c r="O36" s="220">
        <f t="shared" si="12"/>
        <v>63112</v>
      </c>
      <c r="P36" s="220">
        <f t="shared" si="12"/>
        <v>66612</v>
      </c>
      <c r="Q36" s="220">
        <f t="shared" si="12"/>
        <v>73237</v>
      </c>
      <c r="R36" s="220">
        <f t="shared" si="12"/>
        <v>61612</v>
      </c>
      <c r="S36" s="220">
        <f t="shared" si="12"/>
        <v>71012</v>
      </c>
      <c r="T36" s="220">
        <f t="shared" si="12"/>
        <v>9660</v>
      </c>
      <c r="U36" s="213"/>
      <c r="V36" s="220">
        <f>SUM(V37:V46)</f>
        <v>697190</v>
      </c>
    </row>
    <row r="37" spans="1:22" ht="15.75" customHeight="1">
      <c r="A37" s="128"/>
      <c r="B37" s="207" t="s">
        <v>158</v>
      </c>
      <c r="C37" s="208">
        <f>'Aftercare - EC'!C9</f>
        <v>510000</v>
      </c>
      <c r="D37" s="209">
        <f>'Aftercare - EC'!D9</f>
        <v>229709.67</v>
      </c>
      <c r="E37" s="209">
        <f>'Aftercare - EC'!E9</f>
        <v>280000</v>
      </c>
      <c r="F37" s="209">
        <f>'Aftercare - EC'!F9</f>
        <v>510000</v>
      </c>
      <c r="G37" s="210">
        <f t="shared" si="9"/>
        <v>0</v>
      </c>
      <c r="H37" s="211"/>
      <c r="I37" s="212">
        <f>'Aftercare - EC'!K9</f>
        <v>6000</v>
      </c>
      <c r="J37" s="212">
        <f>'Aftercare - EC'!L9</f>
        <v>49800</v>
      </c>
      <c r="K37" s="212">
        <f>'Aftercare - EC'!M9</f>
        <v>49800</v>
      </c>
      <c r="L37" s="212">
        <f>'Aftercare - EC'!N9</f>
        <v>49800</v>
      </c>
      <c r="M37" s="212">
        <f>'Aftercare - EC'!O9</f>
        <v>49800</v>
      </c>
      <c r="N37" s="212">
        <f>'Aftercare - EC'!P9</f>
        <v>49800</v>
      </c>
      <c r="O37" s="212">
        <f>'Aftercare - EC'!Q9</f>
        <v>49800</v>
      </c>
      <c r="P37" s="212">
        <f>'Aftercare - EC'!R9</f>
        <v>49800</v>
      </c>
      <c r="Q37" s="212">
        <f>'Aftercare - EC'!S9</f>
        <v>49800</v>
      </c>
      <c r="R37" s="212">
        <f>'Aftercare - EC'!T9</f>
        <v>49800</v>
      </c>
      <c r="S37" s="212">
        <f>'Aftercare - EC'!U9</f>
        <v>49800</v>
      </c>
      <c r="T37" s="212">
        <f>'Aftercare - EC'!V9</f>
        <v>6000</v>
      </c>
      <c r="U37" s="213"/>
      <c r="V37" s="214">
        <f t="shared" ref="V37:V52" si="13">SUM(I37:T37)</f>
        <v>510000</v>
      </c>
    </row>
    <row r="38" spans="1:22" ht="15.75" customHeight="1">
      <c r="A38" s="128"/>
      <c r="B38" s="207" t="s">
        <v>159</v>
      </c>
      <c r="C38" s="208">
        <f>'Aftercare - MC'!C9</f>
        <v>60000</v>
      </c>
      <c r="D38" s="168">
        <f>'Aftercare - MC'!D9</f>
        <v>30310</v>
      </c>
      <c r="E38" s="221">
        <f>'Aftercare - MC'!E9</f>
        <v>27000</v>
      </c>
      <c r="F38" s="221">
        <f>'Aftercare - MC'!F9</f>
        <v>53520</v>
      </c>
      <c r="G38" s="210">
        <f t="shared" si="9"/>
        <v>-6480</v>
      </c>
      <c r="H38" s="211"/>
      <c r="I38" s="212">
        <f>'Aftercare - MC'!K9</f>
        <v>2000</v>
      </c>
      <c r="J38" s="212">
        <f>'Aftercare - MC'!L9</f>
        <v>4952</v>
      </c>
      <c r="K38" s="212">
        <f>'Aftercare - MC'!M9</f>
        <v>4952</v>
      </c>
      <c r="L38" s="212">
        <f>'Aftercare - MC'!N9</f>
        <v>4952</v>
      </c>
      <c r="M38" s="212">
        <f>'Aftercare - MC'!O9</f>
        <v>4952</v>
      </c>
      <c r="N38" s="212">
        <f>'Aftercare - MC'!P9</f>
        <v>4952</v>
      </c>
      <c r="O38" s="212">
        <f>'Aftercare - MC'!Q9</f>
        <v>4952</v>
      </c>
      <c r="P38" s="212">
        <f>'Aftercare - MC'!R9</f>
        <v>4952</v>
      </c>
      <c r="Q38" s="212">
        <f>'Aftercare - MC'!S9</f>
        <v>4952</v>
      </c>
      <c r="R38" s="212">
        <f>'Aftercare - MC'!T9</f>
        <v>4952</v>
      </c>
      <c r="S38" s="212">
        <f>'Aftercare - MC'!U9</f>
        <v>4952</v>
      </c>
      <c r="T38" s="212">
        <f>'Aftercare - MC'!V9</f>
        <v>2000</v>
      </c>
      <c r="U38" s="213"/>
      <c r="V38" s="214">
        <f t="shared" si="13"/>
        <v>53520</v>
      </c>
    </row>
    <row r="39" spans="1:22" ht="15.75" customHeight="1">
      <c r="A39" s="128"/>
      <c r="B39" s="207" t="s">
        <v>160</v>
      </c>
      <c r="C39" s="208">
        <f>Athletics!C9</f>
        <v>30000</v>
      </c>
      <c r="D39" s="168">
        <f>Athletics!D9</f>
        <v>10585</v>
      </c>
      <c r="E39" s="168">
        <f>Athletics!E9</f>
        <v>2750</v>
      </c>
      <c r="F39" s="168">
        <f>Athletics!F9</f>
        <v>28270</v>
      </c>
      <c r="G39" s="210">
        <f t="shared" si="9"/>
        <v>-1730</v>
      </c>
      <c r="H39" s="211"/>
      <c r="I39" s="212">
        <f>Athletics!K9</f>
        <v>460</v>
      </c>
      <c r="J39" s="212">
        <f>Athletics!L9</f>
        <v>460</v>
      </c>
      <c r="K39" s="212">
        <f>Athletics!M9</f>
        <v>460</v>
      </c>
      <c r="L39" s="212">
        <f>Athletics!N9</f>
        <v>10585</v>
      </c>
      <c r="M39" s="212">
        <f>Athletics!O9</f>
        <v>460</v>
      </c>
      <c r="N39" s="212">
        <f>Athletics!P9</f>
        <v>460</v>
      </c>
      <c r="O39" s="212">
        <f>Athletics!Q9</f>
        <v>460</v>
      </c>
      <c r="P39" s="212">
        <f>Athletics!R9</f>
        <v>460</v>
      </c>
      <c r="Q39" s="212">
        <f>Athletics!S9</f>
        <v>4585</v>
      </c>
      <c r="R39" s="212">
        <f>Athletics!T9</f>
        <v>460</v>
      </c>
      <c r="S39" s="212">
        <f>Athletics!U9</f>
        <v>8960</v>
      </c>
      <c r="T39" s="212">
        <f>Athletics!V9</f>
        <v>460</v>
      </c>
      <c r="U39" s="213"/>
      <c r="V39" s="214">
        <f t="shared" si="13"/>
        <v>28270</v>
      </c>
    </row>
    <row r="40" spans="1:22" ht="14.25" customHeight="1">
      <c r="A40" s="128"/>
      <c r="B40" s="222" t="s">
        <v>161</v>
      </c>
      <c r="C40" s="208">
        <f>'ESS &amp; Student Support'!C10</f>
        <v>10000</v>
      </c>
      <c r="D40" s="168">
        <f>'ESS &amp; Student Support'!D10</f>
        <v>0</v>
      </c>
      <c r="E40" s="168">
        <f>'ESS &amp; Student Support'!E10</f>
        <v>2400</v>
      </c>
      <c r="F40" s="168">
        <f>'ESS &amp; Student Support'!F10</f>
        <v>13500</v>
      </c>
      <c r="G40" s="210">
        <f t="shared" si="9"/>
        <v>3500</v>
      </c>
      <c r="H40" s="211"/>
      <c r="I40" s="212">
        <f>'ESS &amp; Student Support'!K10</f>
        <v>4500</v>
      </c>
      <c r="J40" s="212">
        <f>'ESS &amp; Student Support'!L10</f>
        <v>4500</v>
      </c>
      <c r="K40" s="212">
        <f>'ESS &amp; Student Support'!M10</f>
        <v>0</v>
      </c>
      <c r="L40" s="212">
        <f>'ESS &amp; Student Support'!N10</f>
        <v>0</v>
      </c>
      <c r="M40" s="212">
        <f>'ESS &amp; Student Support'!O10</f>
        <v>0</v>
      </c>
      <c r="N40" s="212">
        <f>'ESS &amp; Student Support'!P10</f>
        <v>0</v>
      </c>
      <c r="O40" s="212">
        <f>'ESS &amp; Student Support'!Q10</f>
        <v>0</v>
      </c>
      <c r="P40" s="212">
        <f>'ESS &amp; Student Support'!R10</f>
        <v>1500</v>
      </c>
      <c r="Q40" s="212">
        <f>'ESS &amp; Student Support'!S10</f>
        <v>1500</v>
      </c>
      <c r="R40" s="212">
        <f>'ESS &amp; Student Support'!T10</f>
        <v>1500</v>
      </c>
      <c r="S40" s="212">
        <f>'ESS &amp; Student Support'!U10</f>
        <v>0</v>
      </c>
      <c r="T40" s="212">
        <f>'ESS &amp; Student Support'!V10</f>
        <v>0</v>
      </c>
      <c r="U40" s="213"/>
      <c r="V40" s="214">
        <f t="shared" si="13"/>
        <v>13500</v>
      </c>
    </row>
    <row r="41" spans="1:22" ht="15.75" customHeight="1">
      <c r="A41" s="128"/>
      <c r="B41" s="207" t="s">
        <v>162</v>
      </c>
      <c r="C41" s="208">
        <f>Diversity!C9</f>
        <v>0</v>
      </c>
      <c r="D41" s="168">
        <f>Diversity!D9</f>
        <v>1500</v>
      </c>
      <c r="E41" s="168">
        <v>0</v>
      </c>
      <c r="F41" s="168">
        <f>Diversity!F9</f>
        <v>0</v>
      </c>
      <c r="G41" s="210">
        <f t="shared" si="9"/>
        <v>0</v>
      </c>
      <c r="H41" s="211"/>
      <c r="I41" s="212">
        <f>Diversity!K9</f>
        <v>0</v>
      </c>
      <c r="J41" s="212">
        <f>Diversity!L9</f>
        <v>0</v>
      </c>
      <c r="K41" s="212">
        <f>Diversity!M9</f>
        <v>0</v>
      </c>
      <c r="L41" s="212">
        <f>Diversity!N9</f>
        <v>0</v>
      </c>
      <c r="M41" s="212">
        <f>Diversity!O9</f>
        <v>0</v>
      </c>
      <c r="N41" s="212">
        <f>Diversity!P9</f>
        <v>0</v>
      </c>
      <c r="O41" s="212">
        <f>Diversity!Q9</f>
        <v>0</v>
      </c>
      <c r="P41" s="212">
        <f>Diversity!R9</f>
        <v>0</v>
      </c>
      <c r="Q41" s="212">
        <f>Diversity!S9</f>
        <v>0</v>
      </c>
      <c r="R41" s="212">
        <f>Diversity!T9</f>
        <v>0</v>
      </c>
      <c r="S41" s="212">
        <f>Diversity!U9</f>
        <v>0</v>
      </c>
      <c r="T41" s="212">
        <f>Diversity!V9</f>
        <v>0</v>
      </c>
      <c r="U41" s="213"/>
      <c r="V41" s="214">
        <f t="shared" si="13"/>
        <v>0</v>
      </c>
    </row>
    <row r="42" spans="1:22" ht="15.75" customHeight="1">
      <c r="A42" s="128"/>
      <c r="B42" s="207" t="s">
        <v>163</v>
      </c>
      <c r="C42" s="208">
        <f>'ESS &amp; Student Support'!C9</f>
        <v>0</v>
      </c>
      <c r="D42" s="168">
        <f>'ESS &amp; Student Support'!D9</f>
        <v>0</v>
      </c>
      <c r="E42" s="168">
        <f>'ESS &amp; Student Support'!E9</f>
        <v>2400</v>
      </c>
      <c r="F42" s="168">
        <f>'ESS &amp; Student Support'!F9</f>
        <v>2400</v>
      </c>
      <c r="G42" s="210">
        <f t="shared" si="9"/>
        <v>2400</v>
      </c>
      <c r="H42" s="211"/>
      <c r="I42" s="212">
        <f>'ESS &amp; Student Support'!K9</f>
        <v>0</v>
      </c>
      <c r="J42" s="212">
        <f>'ESS &amp; Student Support'!L9</f>
        <v>0</v>
      </c>
      <c r="K42" s="212">
        <f>'ESS &amp; Student Support'!M9</f>
        <v>0</v>
      </c>
      <c r="L42" s="212">
        <f>'ESS &amp; Student Support'!N9</f>
        <v>0</v>
      </c>
      <c r="M42" s="212">
        <f>'ESS &amp; Student Support'!O9</f>
        <v>0</v>
      </c>
      <c r="N42" s="212">
        <f>'ESS &amp; Student Support'!P9</f>
        <v>0</v>
      </c>
      <c r="O42" s="212">
        <f>'ESS &amp; Student Support'!Q9</f>
        <v>0</v>
      </c>
      <c r="P42" s="212">
        <f>'ESS &amp; Student Support'!R9</f>
        <v>0</v>
      </c>
      <c r="Q42" s="212">
        <f>'ESS &amp; Student Support'!S9</f>
        <v>0</v>
      </c>
      <c r="R42" s="212">
        <f>'ESS &amp; Student Support'!T9</f>
        <v>0</v>
      </c>
      <c r="S42" s="212">
        <f>'ESS &amp; Student Support'!U9</f>
        <v>2400</v>
      </c>
      <c r="T42" s="212">
        <f>'ESS &amp; Student Support'!V9</f>
        <v>0</v>
      </c>
      <c r="U42" s="213"/>
      <c r="V42" s="214">
        <f t="shared" si="13"/>
        <v>2400</v>
      </c>
    </row>
    <row r="43" spans="1:22" ht="15.75" customHeight="1">
      <c r="A43" s="128"/>
      <c r="B43" s="207" t="s">
        <v>164</v>
      </c>
      <c r="C43" s="208">
        <f>MACAL!C9</f>
        <v>0</v>
      </c>
      <c r="D43" s="168">
        <f>MACAL!D9</f>
        <v>12272.5</v>
      </c>
      <c r="E43" s="168">
        <f>MACAL!E9</f>
        <v>15500</v>
      </c>
      <c r="F43" s="168">
        <f>MACAL!F9</f>
        <v>38000</v>
      </c>
      <c r="G43" s="210">
        <f t="shared" si="9"/>
        <v>38000</v>
      </c>
      <c r="H43" s="211"/>
      <c r="I43" s="212">
        <f>MACAL!K9</f>
        <v>0</v>
      </c>
      <c r="J43" s="212">
        <f>MACAL!L9</f>
        <v>0</v>
      </c>
      <c r="K43" s="212">
        <f>MACAL!M9</f>
        <v>5000</v>
      </c>
      <c r="L43" s="212">
        <f>MACAL!N9</f>
        <v>5000</v>
      </c>
      <c r="M43" s="212">
        <f>MACAL!O9</f>
        <v>10000</v>
      </c>
      <c r="N43" s="212">
        <f>MACAL!P9</f>
        <v>2500</v>
      </c>
      <c r="O43" s="212">
        <f>MACAL!Q9</f>
        <v>3000</v>
      </c>
      <c r="P43" s="212">
        <f>MACAL!R9</f>
        <v>5000</v>
      </c>
      <c r="Q43" s="212">
        <f>MACAL!S9</f>
        <v>7500</v>
      </c>
      <c r="R43" s="212" t="str">
        <f>MACAL!T9</f>
        <v>-</v>
      </c>
      <c r="S43" s="212">
        <f>MACAL!U9</f>
        <v>0</v>
      </c>
      <c r="T43" s="212">
        <f>MACAL!V9</f>
        <v>0</v>
      </c>
      <c r="U43" s="213"/>
      <c r="V43" s="214">
        <f t="shared" si="13"/>
        <v>38000</v>
      </c>
    </row>
    <row r="44" spans="1:22" ht="15.75" customHeight="1">
      <c r="A44" s="128"/>
      <c r="B44" s="207" t="s">
        <v>165</v>
      </c>
      <c r="C44" s="208">
        <v>0</v>
      </c>
      <c r="D44" s="215">
        <f>'Central Office'!D22</f>
        <v>129500</v>
      </c>
      <c r="E44" s="215">
        <f>'Central Office'!E22</f>
        <v>129500</v>
      </c>
      <c r="F44" s="215">
        <v>0</v>
      </c>
      <c r="G44" s="210">
        <f t="shared" si="9"/>
        <v>0</v>
      </c>
      <c r="H44" s="211"/>
      <c r="I44" s="212">
        <f>'Central Office'!K22</f>
        <v>0</v>
      </c>
      <c r="J44" s="212">
        <f>'Central Office'!L22</f>
        <v>0</v>
      </c>
      <c r="K44" s="212">
        <f>'Central Office'!M22</f>
        <v>0</v>
      </c>
      <c r="L44" s="212">
        <f>'Central Office'!N22</f>
        <v>0</v>
      </c>
      <c r="M44" s="212">
        <f>'Central Office'!O22</f>
        <v>0</v>
      </c>
      <c r="N44" s="212">
        <f>'Central Office'!P22</f>
        <v>0</v>
      </c>
      <c r="O44" s="212">
        <f>'Central Office'!Q22</f>
        <v>0</v>
      </c>
      <c r="P44" s="212">
        <f>'Central Office'!R22</f>
        <v>0</v>
      </c>
      <c r="Q44" s="212">
        <f>'Central Office'!S22</f>
        <v>0</v>
      </c>
      <c r="R44" s="212">
        <f>'Central Office'!T22</f>
        <v>0</v>
      </c>
      <c r="S44" s="212">
        <f>'Central Office'!U22</f>
        <v>0</v>
      </c>
      <c r="T44" s="212">
        <f>'Central Office'!V22</f>
        <v>0</v>
      </c>
      <c r="U44" s="213"/>
      <c r="V44" s="214">
        <f t="shared" si="13"/>
        <v>0</v>
      </c>
    </row>
    <row r="45" spans="1:22" ht="15.75" customHeight="1">
      <c r="A45" s="128"/>
      <c r="B45" s="207" t="s">
        <v>166</v>
      </c>
      <c r="C45" s="208">
        <f>'Central Office'!C23</f>
        <v>19200</v>
      </c>
      <c r="D45" s="168">
        <f>'Central Office'!D23</f>
        <v>8250</v>
      </c>
      <c r="E45" s="168">
        <f>'Central Office'!E23</f>
        <v>7800</v>
      </c>
      <c r="F45" s="168">
        <f>'Central Office'!F23</f>
        <v>15500</v>
      </c>
      <c r="G45" s="210">
        <f t="shared" si="9"/>
        <v>-3700</v>
      </c>
      <c r="H45" s="211"/>
      <c r="I45" s="212">
        <f>'Central Office'!K23</f>
        <v>1300</v>
      </c>
      <c r="J45" s="212">
        <f>'Central Office'!L23</f>
        <v>1300</v>
      </c>
      <c r="K45" s="212">
        <f>'Central Office'!M23</f>
        <v>1300</v>
      </c>
      <c r="L45" s="212">
        <f>'Central Office'!N23</f>
        <v>1300</v>
      </c>
      <c r="M45" s="212">
        <f>'Central Office'!O23</f>
        <v>1300</v>
      </c>
      <c r="N45" s="212">
        <f>'Central Office'!P23</f>
        <v>1300</v>
      </c>
      <c r="O45" s="212">
        <f>'Central Office'!Q23</f>
        <v>1300</v>
      </c>
      <c r="P45" s="212">
        <f>'Central Office'!R23</f>
        <v>1300</v>
      </c>
      <c r="Q45" s="212">
        <f>'Central Office'!S23</f>
        <v>1300</v>
      </c>
      <c r="R45" s="212">
        <f>'Central Office'!T23</f>
        <v>1300</v>
      </c>
      <c r="S45" s="212">
        <f>'Central Office'!U23</f>
        <v>1300</v>
      </c>
      <c r="T45" s="212">
        <f>'Central Office'!V23</f>
        <v>1200</v>
      </c>
      <c r="U45" s="213"/>
      <c r="V45" s="214">
        <f t="shared" si="13"/>
        <v>15500</v>
      </c>
    </row>
    <row r="46" spans="1:22" ht="15.75" customHeight="1">
      <c r="A46" s="128"/>
      <c r="B46" s="207" t="s">
        <v>167</v>
      </c>
      <c r="C46" s="208">
        <f>'Central Office'!C24</f>
        <v>0</v>
      </c>
      <c r="D46" s="215">
        <f>'Central Office'!D24</f>
        <v>42374.979999999996</v>
      </c>
      <c r="E46" s="215">
        <f>'Central Office'!E24</f>
        <v>25000</v>
      </c>
      <c r="F46" s="215">
        <f>'Central Office'!F24</f>
        <v>36000</v>
      </c>
      <c r="G46" s="210">
        <f t="shared" si="9"/>
        <v>36000</v>
      </c>
      <c r="H46" s="211"/>
      <c r="I46" s="212">
        <f>'Central Office'!K24</f>
        <v>0</v>
      </c>
      <c r="J46" s="212">
        <f>'Central Office'!L24</f>
        <v>3600</v>
      </c>
      <c r="K46" s="212">
        <f>'Central Office'!M24</f>
        <v>3600</v>
      </c>
      <c r="L46" s="212">
        <f>'Central Office'!N24</f>
        <v>3600</v>
      </c>
      <c r="M46" s="212">
        <f>'Central Office'!O24</f>
        <v>3600</v>
      </c>
      <c r="N46" s="212">
        <f>'Central Office'!P24</f>
        <v>3600</v>
      </c>
      <c r="O46" s="212">
        <f>'Central Office'!Q24</f>
        <v>3600</v>
      </c>
      <c r="P46" s="212">
        <f>'Central Office'!R24</f>
        <v>3600</v>
      </c>
      <c r="Q46" s="212">
        <f>'Central Office'!S24</f>
        <v>3600</v>
      </c>
      <c r="R46" s="212">
        <f>'Central Office'!T24</f>
        <v>3600</v>
      </c>
      <c r="S46" s="212">
        <f>'Central Office'!U24</f>
        <v>3600</v>
      </c>
      <c r="T46" s="212">
        <f>'Central Office'!V24</f>
        <v>0</v>
      </c>
      <c r="U46" s="213"/>
      <c r="V46" s="214">
        <f t="shared" si="13"/>
        <v>36000</v>
      </c>
    </row>
    <row r="47" spans="1:22" ht="15.75" customHeight="1">
      <c r="A47" s="128"/>
      <c r="B47" s="207" t="s">
        <v>168</v>
      </c>
      <c r="C47" s="208">
        <f>'Central Office'!C25</f>
        <v>38400</v>
      </c>
      <c r="D47" s="168">
        <f>'Central Office'!D25</f>
        <v>6102.18</v>
      </c>
      <c r="E47" s="168">
        <f>'Central Office'!E25</f>
        <v>32298</v>
      </c>
      <c r="F47" s="168">
        <f>'Central Office'!F25</f>
        <v>40200</v>
      </c>
      <c r="G47" s="210">
        <f t="shared" si="9"/>
        <v>1800</v>
      </c>
      <c r="H47" s="211"/>
      <c r="I47" s="212" t="str">
        <f>'Central Office'!K25</f>
        <v>-</v>
      </c>
      <c r="J47" s="212">
        <f>'Central Office'!L25</f>
        <v>4020</v>
      </c>
      <c r="K47" s="212">
        <f>'Central Office'!M25</f>
        <v>4020</v>
      </c>
      <c r="L47" s="212">
        <f>'Central Office'!N25</f>
        <v>4020</v>
      </c>
      <c r="M47" s="212">
        <f>'Central Office'!O25</f>
        <v>4020</v>
      </c>
      <c r="N47" s="212">
        <f>'Central Office'!P25</f>
        <v>4020</v>
      </c>
      <c r="O47" s="212">
        <f>'Central Office'!Q25</f>
        <v>4020</v>
      </c>
      <c r="P47" s="212">
        <f>'Central Office'!R25</f>
        <v>4020</v>
      </c>
      <c r="Q47" s="212">
        <f>'Central Office'!S25</f>
        <v>4020</v>
      </c>
      <c r="R47" s="212">
        <f>'Central Office'!T25</f>
        <v>4020</v>
      </c>
      <c r="S47" s="212">
        <f>'Central Office'!U25</f>
        <v>4020</v>
      </c>
      <c r="T47" s="212" t="str">
        <f>'Central Office'!V25</f>
        <v>-</v>
      </c>
      <c r="U47" s="213"/>
      <c r="V47" s="214">
        <f t="shared" si="13"/>
        <v>40200</v>
      </c>
    </row>
    <row r="48" spans="1:22" ht="15.75" customHeight="1">
      <c r="A48" s="128"/>
      <c r="B48" s="207" t="s">
        <v>169</v>
      </c>
      <c r="C48" s="208">
        <f>'Central Office'!C26</f>
        <v>629131</v>
      </c>
      <c r="D48" s="168">
        <f>'Central Office'!D26</f>
        <v>355475.75000000006</v>
      </c>
      <c r="E48" s="168">
        <f>'Central Office'!E26</f>
        <v>273655</v>
      </c>
      <c r="F48" s="168">
        <f>'Central Office'!F26</f>
        <v>704252.26800000004</v>
      </c>
      <c r="G48" s="210">
        <f t="shared" si="9"/>
        <v>75121.26800000004</v>
      </c>
      <c r="H48" s="211"/>
      <c r="I48" s="212">
        <f>'Central Office'!K26</f>
        <v>58687.689000000006</v>
      </c>
      <c r="J48" s="212">
        <f>'Central Office'!L26</f>
        <v>58687.689000000006</v>
      </c>
      <c r="K48" s="212">
        <f>'Central Office'!M26</f>
        <v>58687.689000000006</v>
      </c>
      <c r="L48" s="212">
        <f>'Central Office'!N26</f>
        <v>58687.689000000006</v>
      </c>
      <c r="M48" s="212">
        <f>'Central Office'!O26</f>
        <v>58687.689000000006</v>
      </c>
      <c r="N48" s="212">
        <f>'Central Office'!P26</f>
        <v>58687.689000000006</v>
      </c>
      <c r="O48" s="212">
        <f>'Central Office'!Q26</f>
        <v>58687.689000000006</v>
      </c>
      <c r="P48" s="212">
        <f>'Central Office'!R26</f>
        <v>58687.689000000006</v>
      </c>
      <c r="Q48" s="212">
        <f>'Central Office'!S26</f>
        <v>58687.689000000006</v>
      </c>
      <c r="R48" s="212">
        <f>'Central Office'!T26</f>
        <v>58687.689000000006</v>
      </c>
      <c r="S48" s="212">
        <f>'Central Office'!U26</f>
        <v>58687.689000000006</v>
      </c>
      <c r="T48" s="212">
        <f>'Central Office'!V26</f>
        <v>58687.689000000006</v>
      </c>
      <c r="U48" s="213"/>
      <c r="V48" s="214">
        <f t="shared" si="13"/>
        <v>704252.26800000004</v>
      </c>
    </row>
    <row r="49" spans="1:24" ht="15.75" customHeight="1">
      <c r="A49" s="128"/>
      <c r="B49" s="207" t="s">
        <v>170</v>
      </c>
      <c r="C49" s="208">
        <f>'Central Office'!C27</f>
        <v>27500</v>
      </c>
      <c r="D49" s="168">
        <f>'Central Office'!D27</f>
        <v>22327</v>
      </c>
      <c r="E49" s="168">
        <f>'Central Office'!E27</f>
        <v>22327</v>
      </c>
      <c r="F49" s="168">
        <f>'Central Office'!F27</f>
        <v>33252</v>
      </c>
      <c r="G49" s="210">
        <f t="shared" si="9"/>
        <v>5752</v>
      </c>
      <c r="H49" s="211"/>
      <c r="I49" s="212">
        <f>'Central Office'!K27</f>
        <v>2771</v>
      </c>
      <c r="J49" s="212">
        <f>'Central Office'!L27</f>
        <v>2771</v>
      </c>
      <c r="K49" s="212">
        <f>'Central Office'!M27</f>
        <v>2771</v>
      </c>
      <c r="L49" s="212">
        <f>'Central Office'!N27</f>
        <v>2771</v>
      </c>
      <c r="M49" s="212">
        <f>'Central Office'!O27</f>
        <v>2771</v>
      </c>
      <c r="N49" s="212">
        <f>'Central Office'!P27</f>
        <v>2771</v>
      </c>
      <c r="O49" s="212">
        <f>'Central Office'!Q27</f>
        <v>2771</v>
      </c>
      <c r="P49" s="212">
        <f>'Central Office'!R27</f>
        <v>2771</v>
      </c>
      <c r="Q49" s="212">
        <f>'Central Office'!S27</f>
        <v>2771</v>
      </c>
      <c r="R49" s="212">
        <f>'Central Office'!T27</f>
        <v>2771</v>
      </c>
      <c r="S49" s="212">
        <f>'Central Office'!U27</f>
        <v>2771</v>
      </c>
      <c r="T49" s="212">
        <f>'Central Office'!V27</f>
        <v>2771</v>
      </c>
      <c r="U49" s="213"/>
      <c r="V49" s="214">
        <f t="shared" si="13"/>
        <v>33252</v>
      </c>
    </row>
    <row r="50" spans="1:24" ht="15.75" customHeight="1">
      <c r="A50" s="128"/>
      <c r="B50" s="207" t="s">
        <v>171</v>
      </c>
      <c r="C50" s="208">
        <f>'Central Office'!C28</f>
        <v>1572645</v>
      </c>
      <c r="D50" s="168">
        <f>'Central Office'!D28</f>
        <v>748892.1399999999</v>
      </c>
      <c r="E50" s="168">
        <f>'Central Office'!E28</f>
        <v>823753</v>
      </c>
      <c r="F50" s="168">
        <f>'Central Office'!F28</f>
        <v>1832817</v>
      </c>
      <c r="G50" s="210">
        <f t="shared" si="9"/>
        <v>260172</v>
      </c>
      <c r="H50" s="211"/>
      <c r="I50" s="212">
        <f>'Central Office'!K28</f>
        <v>152734.75</v>
      </c>
      <c r="J50" s="212">
        <f>'Central Office'!L28</f>
        <v>152734.75</v>
      </c>
      <c r="K50" s="212">
        <f>'Central Office'!M28</f>
        <v>152734.75</v>
      </c>
      <c r="L50" s="212">
        <f>'Central Office'!N28</f>
        <v>152734.75</v>
      </c>
      <c r="M50" s="212">
        <f>'Central Office'!O28</f>
        <v>152734.75</v>
      </c>
      <c r="N50" s="212">
        <f>'Central Office'!P28</f>
        <v>152734.75</v>
      </c>
      <c r="O50" s="212">
        <f>'Central Office'!Q28</f>
        <v>152734.75</v>
      </c>
      <c r="P50" s="212">
        <f>'Central Office'!R28</f>
        <v>152734.75</v>
      </c>
      <c r="Q50" s="212">
        <f>'Central Office'!S28</f>
        <v>152734.75</v>
      </c>
      <c r="R50" s="212">
        <f>'Central Office'!T28</f>
        <v>152734.75</v>
      </c>
      <c r="S50" s="212">
        <f>'Central Office'!U28</f>
        <v>152734.75</v>
      </c>
      <c r="T50" s="212">
        <f>'Central Office'!V28</f>
        <v>152734.75</v>
      </c>
      <c r="U50" s="213"/>
      <c r="V50" s="214">
        <f t="shared" si="13"/>
        <v>1832817</v>
      </c>
    </row>
    <row r="51" spans="1:24" ht="15.75" customHeight="1">
      <c r="A51" s="128"/>
      <c r="B51" s="207" t="s">
        <v>172</v>
      </c>
      <c r="C51" s="208">
        <f>'Central Office'!C29</f>
        <v>1164960</v>
      </c>
      <c r="D51" s="168">
        <f>'Central Office'!D29</f>
        <v>588266.03</v>
      </c>
      <c r="E51" s="168">
        <f>'Central Office'!E29</f>
        <v>600000</v>
      </c>
      <c r="F51" s="168">
        <f>'Central Office'!F29</f>
        <v>1268500</v>
      </c>
      <c r="G51" s="210">
        <f t="shared" si="9"/>
        <v>103540</v>
      </c>
      <c r="H51" s="211"/>
      <c r="I51" s="212">
        <f>'Central Office'!K29</f>
        <v>105708.33333333333</v>
      </c>
      <c r="J51" s="212">
        <f>'Central Office'!L29</f>
        <v>105708.33333333333</v>
      </c>
      <c r="K51" s="212">
        <f>'Central Office'!M29</f>
        <v>105708.33333333333</v>
      </c>
      <c r="L51" s="212">
        <f>'Central Office'!N29</f>
        <v>105708.33333333333</v>
      </c>
      <c r="M51" s="212">
        <f>'Central Office'!O29</f>
        <v>105708.33333333333</v>
      </c>
      <c r="N51" s="212">
        <f>'Central Office'!P29</f>
        <v>105708.33333333333</v>
      </c>
      <c r="O51" s="212">
        <f>'Central Office'!Q29</f>
        <v>105708.33333333333</v>
      </c>
      <c r="P51" s="212">
        <f>'Central Office'!R29</f>
        <v>105708.33333333333</v>
      </c>
      <c r="Q51" s="212">
        <f>'Central Office'!S29</f>
        <v>105708.33333333333</v>
      </c>
      <c r="R51" s="212">
        <f>'Central Office'!T29</f>
        <v>105708.33333333333</v>
      </c>
      <c r="S51" s="212">
        <f>'Central Office'!U29</f>
        <v>105708.33333333333</v>
      </c>
      <c r="T51" s="212">
        <f>'Central Office'!V29</f>
        <v>105708.33333333333</v>
      </c>
      <c r="U51" s="213"/>
      <c r="V51" s="214">
        <f t="shared" si="13"/>
        <v>1268500</v>
      </c>
    </row>
    <row r="52" spans="1:24" ht="15.75" customHeight="1">
      <c r="A52" s="128"/>
      <c r="B52" s="185" t="s">
        <v>45</v>
      </c>
      <c r="C52" s="216">
        <f>'Central Office'!C30+'Elem Campus'!C11+'Middle Campus'!C11+Security!C9</f>
        <v>112000</v>
      </c>
      <c r="D52" s="223">
        <f>'Central Office'!D30+'Elem Campus'!D11+'Middle Campus'!D11+Security!D9</f>
        <v>71938.319999999992</v>
      </c>
      <c r="E52" s="223">
        <f>'Central Office'!E30+'Elem Campus'!E11+'Middle Campus'!E11+Security!E9</f>
        <v>32756.22</v>
      </c>
      <c r="F52" s="223">
        <f>'Central Office'!F30+'Elem Campus'!F11+'Middle Campus'!F11+Security!F9</f>
        <v>114720</v>
      </c>
      <c r="G52" s="224">
        <f t="shared" si="9"/>
        <v>2720</v>
      </c>
      <c r="H52" s="219"/>
      <c r="I52" s="225">
        <f>'Central Office'!K30+'Elem Campus'!K11+'Middle Campus'!K11+Security!K9</f>
        <v>0</v>
      </c>
      <c r="J52" s="225">
        <f>'Central Office'!L30+'Elem Campus'!L11+'Middle Campus'!L11+Security!L9</f>
        <v>11000</v>
      </c>
      <c r="K52" s="225">
        <f>'Central Office'!M30+'Elem Campus'!M11+'Middle Campus'!M11+Security!M9</f>
        <v>11620</v>
      </c>
      <c r="L52" s="225">
        <f>'Central Office'!N30+'Elem Campus'!N11+'Middle Campus'!N11+Security!N9</f>
        <v>11000</v>
      </c>
      <c r="M52" s="225">
        <f>'Central Office'!O30+'Elem Campus'!O11+'Middle Campus'!O11+Security!O9</f>
        <v>11000</v>
      </c>
      <c r="N52" s="225">
        <f>'Central Office'!P30+'Elem Campus'!P11+'Middle Campus'!P11+Security!P9</f>
        <v>11500</v>
      </c>
      <c r="O52" s="225">
        <f>'Central Office'!Q30+'Elem Campus'!Q11+'Middle Campus'!Q11+Security!Q9</f>
        <v>11000</v>
      </c>
      <c r="P52" s="225">
        <f>'Central Office'!R30+'Elem Campus'!R11+'Middle Campus'!R11+Security!R9</f>
        <v>11000</v>
      </c>
      <c r="Q52" s="225">
        <f>'Central Office'!S30+'Elem Campus'!S11+'Middle Campus'!S11+Security!S9</f>
        <v>11500</v>
      </c>
      <c r="R52" s="225">
        <f>'Central Office'!T30+'Elem Campus'!T11+'Middle Campus'!T11+Security!T9</f>
        <v>11000</v>
      </c>
      <c r="S52" s="225">
        <f>'Central Office'!U30+'Elem Campus'!U11+'Middle Campus'!U11+Security!U9</f>
        <v>11500</v>
      </c>
      <c r="T52" s="225">
        <f>'Central Office'!V30+'Elem Campus'!V11+'Middle Campus'!V11+Security!V9</f>
        <v>2600</v>
      </c>
      <c r="U52" s="213"/>
      <c r="V52" s="226">
        <f t="shared" si="13"/>
        <v>114720</v>
      </c>
      <c r="W52" s="227"/>
      <c r="X52" s="227"/>
    </row>
    <row r="53" spans="1:24" ht="15.75" customHeight="1">
      <c r="A53" s="128"/>
      <c r="B53" s="185" t="s">
        <v>173</v>
      </c>
      <c r="C53" s="216">
        <f>SUM(C55:C56)</f>
        <v>217500</v>
      </c>
      <c r="D53" s="204">
        <f t="shared" ref="D53:F53" si="14">SUM(D54:D56)</f>
        <v>128735.15999999999</v>
      </c>
      <c r="E53" s="204">
        <f t="shared" si="14"/>
        <v>111366</v>
      </c>
      <c r="F53" s="204">
        <f t="shared" si="14"/>
        <v>203100</v>
      </c>
      <c r="G53" s="224">
        <f t="shared" si="9"/>
        <v>-14400</v>
      </c>
      <c r="H53" s="219"/>
      <c r="I53" s="225">
        <f t="shared" ref="I53:T53" si="15">SUM(I54:I56)</f>
        <v>29567.606060606056</v>
      </c>
      <c r="J53" s="225">
        <f t="shared" si="15"/>
        <v>21585.606060606064</v>
      </c>
      <c r="K53" s="225">
        <f t="shared" si="15"/>
        <v>13628.606060606062</v>
      </c>
      <c r="L53" s="225">
        <f t="shared" si="15"/>
        <v>12928.606060606062</v>
      </c>
      <c r="M53" s="225">
        <f t="shared" si="15"/>
        <v>13550.606060606062</v>
      </c>
      <c r="N53" s="225">
        <f t="shared" si="15"/>
        <v>15053.606060606062</v>
      </c>
      <c r="O53" s="225">
        <f t="shared" si="15"/>
        <v>17450.606060606064</v>
      </c>
      <c r="P53" s="225">
        <f t="shared" si="15"/>
        <v>12728.606060606062</v>
      </c>
      <c r="Q53" s="225">
        <f t="shared" si="15"/>
        <v>15528.606060606062</v>
      </c>
      <c r="R53" s="225">
        <f t="shared" si="15"/>
        <v>48028.606060606064</v>
      </c>
      <c r="S53" s="225">
        <f t="shared" si="15"/>
        <v>12715.606060606062</v>
      </c>
      <c r="T53" s="225">
        <f t="shared" si="15"/>
        <v>333.33333333333331</v>
      </c>
      <c r="U53" s="213"/>
      <c r="V53" s="225">
        <f>SUM(V54:V56)</f>
        <v>203100</v>
      </c>
      <c r="W53" s="227"/>
      <c r="X53" s="227"/>
    </row>
    <row r="54" spans="1:24" ht="15.75" customHeight="1">
      <c r="A54" s="128"/>
      <c r="B54" s="207" t="s">
        <v>174</v>
      </c>
      <c r="C54" s="208">
        <v>0</v>
      </c>
      <c r="D54" s="228">
        <v>0</v>
      </c>
      <c r="E54" s="228">
        <v>0</v>
      </c>
      <c r="F54" s="228">
        <f>Diversity!F14</f>
        <v>0</v>
      </c>
      <c r="G54" s="229">
        <f t="shared" si="9"/>
        <v>0</v>
      </c>
      <c r="H54" s="211"/>
      <c r="I54" s="212">
        <f>Diversity!K14</f>
        <v>0</v>
      </c>
      <c r="J54" s="212">
        <f>Diversity!L14</f>
        <v>0</v>
      </c>
      <c r="K54" s="212">
        <f>Diversity!M14</f>
        <v>0</v>
      </c>
      <c r="L54" s="212">
        <f>Diversity!N14</f>
        <v>0</v>
      </c>
      <c r="M54" s="212">
        <f>Diversity!O14</f>
        <v>0</v>
      </c>
      <c r="N54" s="212">
        <f>Diversity!P14</f>
        <v>0</v>
      </c>
      <c r="O54" s="212">
        <f>Diversity!Q14</f>
        <v>0</v>
      </c>
      <c r="P54" s="212">
        <f>Diversity!R14</f>
        <v>0</v>
      </c>
      <c r="Q54" s="212">
        <f>Diversity!S14</f>
        <v>0</v>
      </c>
      <c r="R54" s="212">
        <f>Diversity!T14</f>
        <v>0</v>
      </c>
      <c r="S54" s="212">
        <f>Diversity!U14</f>
        <v>0</v>
      </c>
      <c r="T54" s="212">
        <f>Diversity!V14</f>
        <v>0</v>
      </c>
      <c r="U54" s="213"/>
      <c r="V54" s="230">
        <f t="shared" ref="V54:V55" si="16">SUM(I54:T54)</f>
        <v>0</v>
      </c>
    </row>
    <row r="55" spans="1:24" ht="15.75" customHeight="1">
      <c r="A55" s="128"/>
      <c r="B55" s="207" t="s">
        <v>175</v>
      </c>
      <c r="C55" s="208">
        <f>'Elem Campus'!C17+'Elem Campus'!C18+'Middle Campus'!C20+'Media Center - EC'!C10+'Media Center - MC'!C9+Diversity!C11</f>
        <v>77000</v>
      </c>
      <c r="D55" s="168">
        <f>'Elem Campus'!D17+'Elem Campus'!D18+'Middle Campus'!D20+'Media Center - EC'!D10+'Media Center - MC'!D9+Diversity!D11</f>
        <v>32263.03</v>
      </c>
      <c r="E55" s="168">
        <f>'Elem Campus'!E17+'Elem Campus'!E18+'Middle Campus'!E20+'Media Center - EC'!E10+'Media Center - MC'!E9+Diversity!E11</f>
        <v>42196</v>
      </c>
      <c r="F55" s="168">
        <f>'Elem Campus'!F17+'Elem Campus'!F18+'Middle Campus'!F20+'Media Center - EC'!F10+'Media Center - MC'!F9+Diversity!F11</f>
        <v>60400</v>
      </c>
      <c r="G55" s="229">
        <f t="shared" si="9"/>
        <v>-16600</v>
      </c>
      <c r="H55" s="211"/>
      <c r="I55" s="212">
        <f>'Elem Campus'!K17+'Elem Campus'!K18+'Middle Campus'!K20+'Media Center - EC'!K10+'Media Center - MC'!K9+Diversity!K11</f>
        <v>4500</v>
      </c>
      <c r="J55" s="212">
        <f>'Elem Campus'!L17+'Elem Campus'!L18+'Middle Campus'!L20+'Media Center - EC'!L10+'Media Center - MC'!L9+Diversity!L11</f>
        <v>4500</v>
      </c>
      <c r="K55" s="212">
        <f>'Elem Campus'!M17+'Elem Campus'!M18+'Middle Campus'!M20+'Media Center - EC'!M10+'Media Center - MC'!M9+Diversity!M11</f>
        <v>1250</v>
      </c>
      <c r="L55" s="212">
        <f>'Elem Campus'!N17+'Elem Campus'!N18+'Middle Campus'!N20+'Media Center - EC'!N10+'Media Center - MC'!N9+Diversity!N11</f>
        <v>950</v>
      </c>
      <c r="M55" s="212">
        <f>'Elem Campus'!O17+'Elem Campus'!O18+'Middle Campus'!O20+'Media Center - EC'!O10+'Media Center - MC'!O9+Diversity!O11</f>
        <v>850</v>
      </c>
      <c r="N55" s="212">
        <f>'Elem Campus'!P17+'Elem Campus'!P18+'Middle Campus'!P20+'Media Center - EC'!P10+'Media Center - MC'!P9+Diversity!P11</f>
        <v>3250</v>
      </c>
      <c r="O55" s="212">
        <f>'Elem Campus'!Q17+'Elem Campus'!Q18+'Middle Campus'!Q20+'Media Center - EC'!Q10+'Media Center - MC'!Q9+Diversity!Q11</f>
        <v>4200</v>
      </c>
      <c r="P55" s="212">
        <f>'Elem Campus'!R17+'Elem Campus'!R18+'Middle Campus'!R20+'Media Center - EC'!R10+'Media Center - MC'!R9+Diversity!R11</f>
        <v>950</v>
      </c>
      <c r="Q55" s="212">
        <f>'Elem Campus'!S17+'Elem Campus'!S18+'Middle Campus'!S20+'Media Center - EC'!S10+'Media Center - MC'!S9+Diversity!S11</f>
        <v>3300</v>
      </c>
      <c r="R55" s="212">
        <f>'Elem Campus'!T17+'Elem Campus'!T18+'Middle Campus'!T20+'Media Center - EC'!T10+'Media Center - MC'!T9+Diversity!T11</f>
        <v>36450</v>
      </c>
      <c r="S55" s="212">
        <f>'Elem Campus'!U17+'Elem Campus'!U18+'Middle Campus'!U20+'Media Center - EC'!U10+'Media Center - MC'!U9+Diversity!U11</f>
        <v>200</v>
      </c>
      <c r="T55" s="212">
        <f>'Elem Campus'!V17+'Elem Campus'!V18+'Middle Campus'!V20+'Media Center - EC'!V10+'Media Center - MC'!V9+Diversity!V11</f>
        <v>0</v>
      </c>
      <c r="U55" s="213"/>
      <c r="V55" s="230">
        <f t="shared" si="16"/>
        <v>60400</v>
      </c>
    </row>
    <row r="56" spans="1:24" ht="15.75" customHeight="1">
      <c r="A56" s="128"/>
      <c r="B56" s="207" t="s">
        <v>176</v>
      </c>
      <c r="C56" s="208">
        <f>SUM(C57:C85)+'Central Office'!C32+'Information Tech'!C8</f>
        <v>140500</v>
      </c>
      <c r="D56" s="217">
        <f>SUM(D57:D85)+'Central Office'!D32+'Information Tech'!D8</f>
        <v>96472.12999999999</v>
      </c>
      <c r="E56" s="217">
        <f>SUM(E57:E85)+'Central Office'!E32+'Information Tech'!E8</f>
        <v>69170</v>
      </c>
      <c r="F56" s="217">
        <f>SUM(F57:F85)+'Central Office'!F32</f>
        <v>142700</v>
      </c>
      <c r="G56" s="218">
        <f t="shared" si="9"/>
        <v>2200</v>
      </c>
      <c r="H56" s="211"/>
      <c r="I56" s="220">
        <f>SUM(I57:I85)+'Central Office'!K32+'Information Tech'!K8</f>
        <v>25067.606060606056</v>
      </c>
      <c r="J56" s="220">
        <f>SUM(J57:J85)+'Central Office'!L32+'Information Tech'!L8</f>
        <v>17085.606060606064</v>
      </c>
      <c r="K56" s="220">
        <f>SUM(K57:K85)+'Central Office'!M32+'Information Tech'!M8</f>
        <v>12378.606060606062</v>
      </c>
      <c r="L56" s="220">
        <f>SUM(L57:L85)+'Central Office'!N32+'Information Tech'!N8</f>
        <v>11978.606060606062</v>
      </c>
      <c r="M56" s="220">
        <f>SUM(M57:M85)+'Central Office'!O32+'Information Tech'!O8</f>
        <v>12700.606060606062</v>
      </c>
      <c r="N56" s="220">
        <f>SUM(N57:N85)+'Central Office'!P32+'Information Tech'!P8</f>
        <v>11803.606060606062</v>
      </c>
      <c r="O56" s="220">
        <f>SUM(O57:O85)+'Central Office'!Q32+'Information Tech'!Q8</f>
        <v>13250.606060606062</v>
      </c>
      <c r="P56" s="220">
        <f>SUM(P57:P85)+'Central Office'!R32+'Information Tech'!R8</f>
        <v>11778.606060606062</v>
      </c>
      <c r="Q56" s="220">
        <f>SUM(Q57:Q85)+'Central Office'!S32+'Information Tech'!S8</f>
        <v>12228.606060606062</v>
      </c>
      <c r="R56" s="220">
        <f>SUM(R57:R85)+'Central Office'!T32+'Information Tech'!T8</f>
        <v>11578.606060606062</v>
      </c>
      <c r="S56" s="220">
        <f>SUM(S57:S85)+'Central Office'!U32+'Information Tech'!U8</f>
        <v>12515.606060606062</v>
      </c>
      <c r="T56" s="220">
        <f>SUM(T57:T85)+'Central Office'!V32+'Information Tech'!V8</f>
        <v>333.33333333333331</v>
      </c>
      <c r="U56" s="213"/>
      <c r="V56" s="231">
        <f>SUM(V57:V85)</f>
        <v>142700</v>
      </c>
    </row>
    <row r="57" spans="1:24" ht="15.75" customHeight="1">
      <c r="A57" s="232"/>
      <c r="B57" s="132" t="s">
        <v>177</v>
      </c>
      <c r="C57" s="166">
        <f>'Elem Campus'!C30</f>
        <v>0</v>
      </c>
      <c r="D57" s="167">
        <f>'Elem Campus'!D30</f>
        <v>11671</v>
      </c>
      <c r="E57" s="167">
        <f>'Elem Campus'!E30</f>
        <v>3000</v>
      </c>
      <c r="F57" s="167">
        <f>'Elem Campus'!F30</f>
        <v>0</v>
      </c>
      <c r="G57" s="210">
        <f t="shared" si="9"/>
        <v>0</v>
      </c>
      <c r="H57" s="211"/>
      <c r="I57" s="212">
        <f>'Elem Campus'!K30</f>
        <v>0</v>
      </c>
      <c r="J57" s="212">
        <f>'Elem Campus'!L30</f>
        <v>0</v>
      </c>
      <c r="K57" s="212">
        <f>'Elem Campus'!M30</f>
        <v>0</v>
      </c>
      <c r="L57" s="212">
        <f>'Elem Campus'!N30</f>
        <v>0</v>
      </c>
      <c r="M57" s="212">
        <f>'Elem Campus'!O30</f>
        <v>0</v>
      </c>
      <c r="N57" s="212">
        <f>'Elem Campus'!P30</f>
        <v>0</v>
      </c>
      <c r="O57" s="212">
        <f>'Elem Campus'!Q30</f>
        <v>0</v>
      </c>
      <c r="P57" s="212">
        <f>'Elem Campus'!R30</f>
        <v>0</v>
      </c>
      <c r="Q57" s="212">
        <f>'Elem Campus'!S30</f>
        <v>0</v>
      </c>
      <c r="R57" s="212">
        <f>'Elem Campus'!T30</f>
        <v>0</v>
      </c>
      <c r="S57" s="212">
        <f>'Elem Campus'!U30</f>
        <v>0</v>
      </c>
      <c r="T57" s="212">
        <f>'Elem Campus'!V30</f>
        <v>0</v>
      </c>
      <c r="U57" s="213"/>
      <c r="V57" s="230">
        <f t="shared" ref="V57:V85" si="17">SUM(I57:T57)</f>
        <v>0</v>
      </c>
      <c r="W57" s="227"/>
      <c r="X57" s="227"/>
    </row>
    <row r="58" spans="1:24" ht="15.75" customHeight="1">
      <c r="A58" s="232"/>
      <c r="B58" s="132" t="s">
        <v>178</v>
      </c>
      <c r="C58" s="166">
        <f>'Middle Campus'!C36</f>
        <v>0</v>
      </c>
      <c r="D58" s="167">
        <f>'Middle Campus'!D36</f>
        <v>2554.8200000000002</v>
      </c>
      <c r="E58" s="167">
        <f>'Middle Campus'!E36</f>
        <v>0</v>
      </c>
      <c r="F58" s="167">
        <f>'Middle Campus'!F36</f>
        <v>0</v>
      </c>
      <c r="G58" s="210">
        <f t="shared" si="9"/>
        <v>0</v>
      </c>
      <c r="H58" s="211"/>
      <c r="I58" s="212">
        <f>'Middle Campus'!K36</f>
        <v>0</v>
      </c>
      <c r="J58" s="212">
        <f>'Middle Campus'!L36</f>
        <v>0</v>
      </c>
      <c r="K58" s="212">
        <f>'Middle Campus'!M36</f>
        <v>0</v>
      </c>
      <c r="L58" s="212">
        <f>'Middle Campus'!N36</f>
        <v>0</v>
      </c>
      <c r="M58" s="212">
        <f>'Middle Campus'!O36</f>
        <v>0</v>
      </c>
      <c r="N58" s="212">
        <f>'Middle Campus'!P36</f>
        <v>0</v>
      </c>
      <c r="O58" s="212">
        <f>'Middle Campus'!Q36</f>
        <v>0</v>
      </c>
      <c r="P58" s="212">
        <f>'Middle Campus'!R36</f>
        <v>0</v>
      </c>
      <c r="Q58" s="212">
        <f>'Middle Campus'!S36</f>
        <v>0</v>
      </c>
      <c r="R58" s="212">
        <f>'Middle Campus'!T36</f>
        <v>0</v>
      </c>
      <c r="S58" s="212">
        <f>'Middle Campus'!U36</f>
        <v>0</v>
      </c>
      <c r="T58" s="212">
        <f>'Middle Campus'!V36</f>
        <v>0</v>
      </c>
      <c r="U58" s="213"/>
      <c r="V58" s="230">
        <f t="shared" si="17"/>
        <v>0</v>
      </c>
      <c r="W58" s="227"/>
      <c r="X58" s="227"/>
    </row>
    <row r="59" spans="1:24" ht="15.75" customHeight="1">
      <c r="A59" s="232"/>
      <c r="B59" s="132" t="s">
        <v>179</v>
      </c>
      <c r="C59" s="166">
        <f>'Elem Campus'!C20</f>
        <v>12000</v>
      </c>
      <c r="D59" s="167">
        <f>'Elem Campus'!D20</f>
        <v>5520</v>
      </c>
      <c r="E59" s="167">
        <f>'Elem Campus'!E20</f>
        <v>4000</v>
      </c>
      <c r="F59" s="167">
        <f>'Elem Campus'!F20</f>
        <v>8000</v>
      </c>
      <c r="G59" s="210">
        <f t="shared" si="9"/>
        <v>-4000</v>
      </c>
      <c r="H59" s="211"/>
      <c r="I59" s="212">
        <f>'Elem Campus'!K20</f>
        <v>2500</v>
      </c>
      <c r="J59" s="212">
        <f>'Elem Campus'!L20</f>
        <v>1000</v>
      </c>
      <c r="K59" s="212">
        <f>'Elem Campus'!M20</f>
        <v>1000</v>
      </c>
      <c r="L59" s="212">
        <f>'Elem Campus'!N20</f>
        <v>500</v>
      </c>
      <c r="M59" s="212">
        <f>'Elem Campus'!O20</f>
        <v>500</v>
      </c>
      <c r="N59" s="212">
        <f>'Elem Campus'!P20</f>
        <v>300</v>
      </c>
      <c r="O59" s="212">
        <f>'Elem Campus'!Q20</f>
        <v>1000</v>
      </c>
      <c r="P59" s="212">
        <f>'Elem Campus'!R20</f>
        <v>300</v>
      </c>
      <c r="Q59" s="212">
        <f>'Elem Campus'!S20</f>
        <v>300</v>
      </c>
      <c r="R59" s="212">
        <f>'Elem Campus'!T20</f>
        <v>300</v>
      </c>
      <c r="S59" s="212">
        <f>'Elem Campus'!U20</f>
        <v>300</v>
      </c>
      <c r="T59" s="212">
        <f>'Elem Campus'!V20</f>
        <v>0</v>
      </c>
      <c r="U59" s="213"/>
      <c r="V59" s="230">
        <f t="shared" si="17"/>
        <v>8000</v>
      </c>
      <c r="W59" s="227"/>
      <c r="X59" s="227"/>
    </row>
    <row r="60" spans="1:24" ht="15.75" customHeight="1">
      <c r="A60" s="232"/>
      <c r="B60" s="132" t="s">
        <v>180</v>
      </c>
      <c r="C60" s="166">
        <f>'Elem Campus'!C21</f>
        <v>9000</v>
      </c>
      <c r="D60" s="167">
        <f>'Elem Campus'!D21</f>
        <v>3576</v>
      </c>
      <c r="E60" s="167">
        <f>'Elem Campus'!E21</f>
        <v>3000</v>
      </c>
      <c r="F60" s="167">
        <f>'Elem Campus'!F21</f>
        <v>6000</v>
      </c>
      <c r="G60" s="210">
        <f t="shared" si="9"/>
        <v>-3000</v>
      </c>
      <c r="H60" s="211"/>
      <c r="I60" s="212">
        <f>'Elem Campus'!K21</f>
        <v>2000</v>
      </c>
      <c r="J60" s="212">
        <f>'Elem Campus'!L21</f>
        <v>500</v>
      </c>
      <c r="K60" s="212">
        <f>'Elem Campus'!M21</f>
        <v>388</v>
      </c>
      <c r="L60" s="212">
        <f>'Elem Campus'!N21</f>
        <v>388</v>
      </c>
      <c r="M60" s="212">
        <f>'Elem Campus'!O21</f>
        <v>388</v>
      </c>
      <c r="N60" s="212">
        <f>'Elem Campus'!P21</f>
        <v>388</v>
      </c>
      <c r="O60" s="212">
        <f>'Elem Campus'!Q21</f>
        <v>388</v>
      </c>
      <c r="P60" s="212">
        <f>'Elem Campus'!R21</f>
        <v>388</v>
      </c>
      <c r="Q60" s="212">
        <f>'Elem Campus'!S21</f>
        <v>388</v>
      </c>
      <c r="R60" s="212">
        <f>'Elem Campus'!T21</f>
        <v>388</v>
      </c>
      <c r="S60" s="212">
        <f>'Elem Campus'!U21</f>
        <v>396</v>
      </c>
      <c r="T60" s="212">
        <f>'Elem Campus'!V21</f>
        <v>0</v>
      </c>
      <c r="U60" s="213"/>
      <c r="V60" s="230">
        <f t="shared" si="17"/>
        <v>6000</v>
      </c>
      <c r="W60" s="227"/>
      <c r="X60" s="227"/>
    </row>
    <row r="61" spans="1:24" ht="15.75" customHeight="1">
      <c r="A61" s="232"/>
      <c r="B61" s="132" t="s">
        <v>181</v>
      </c>
      <c r="C61" s="166">
        <f>'Elem Campus'!C22</f>
        <v>9000</v>
      </c>
      <c r="D61" s="167">
        <f>'Elem Campus'!D22</f>
        <v>2152</v>
      </c>
      <c r="E61" s="167">
        <f>'Elem Campus'!E22</f>
        <v>3000</v>
      </c>
      <c r="F61" s="167">
        <f>'Elem Campus'!F22</f>
        <v>6000</v>
      </c>
      <c r="G61" s="210">
        <f t="shared" si="9"/>
        <v>-3000</v>
      </c>
      <c r="H61" s="211"/>
      <c r="I61" s="212">
        <f>'Elem Campus'!K22</f>
        <v>2000</v>
      </c>
      <c r="J61" s="212">
        <f>'Elem Campus'!L22</f>
        <v>500</v>
      </c>
      <c r="K61" s="212">
        <f>'Elem Campus'!M22</f>
        <v>388</v>
      </c>
      <c r="L61" s="212">
        <f>'Elem Campus'!N22</f>
        <v>388</v>
      </c>
      <c r="M61" s="212">
        <f>'Elem Campus'!O22</f>
        <v>388</v>
      </c>
      <c r="N61" s="212">
        <f>'Elem Campus'!P22</f>
        <v>388</v>
      </c>
      <c r="O61" s="212">
        <f>'Elem Campus'!Q22</f>
        <v>388</v>
      </c>
      <c r="P61" s="212">
        <f>'Elem Campus'!R22</f>
        <v>388</v>
      </c>
      <c r="Q61" s="212">
        <f>'Elem Campus'!S22</f>
        <v>388</v>
      </c>
      <c r="R61" s="212">
        <f>'Elem Campus'!T22</f>
        <v>388</v>
      </c>
      <c r="S61" s="212">
        <f>'Elem Campus'!U22</f>
        <v>396</v>
      </c>
      <c r="T61" s="212">
        <f>'Elem Campus'!V22</f>
        <v>0</v>
      </c>
      <c r="U61" s="213"/>
      <c r="V61" s="230">
        <f t="shared" si="17"/>
        <v>6000</v>
      </c>
      <c r="W61" s="227"/>
      <c r="X61" s="227"/>
    </row>
    <row r="62" spans="1:24" ht="15.75" customHeight="1">
      <c r="A62" s="232"/>
      <c r="B62" s="132" t="s">
        <v>182</v>
      </c>
      <c r="C62" s="166">
        <f>'Elem Campus'!C23</f>
        <v>9000</v>
      </c>
      <c r="D62" s="167">
        <f>'Elem Campus'!D23</f>
        <v>3435</v>
      </c>
      <c r="E62" s="167">
        <f>'Elem Campus'!E23</f>
        <v>3000</v>
      </c>
      <c r="F62" s="167">
        <f>'Elem Campus'!F23</f>
        <v>6000</v>
      </c>
      <c r="G62" s="210">
        <f t="shared" si="9"/>
        <v>-3000</v>
      </c>
      <c r="H62" s="211"/>
      <c r="I62" s="212">
        <f>'Elem Campus'!K23</f>
        <v>2000</v>
      </c>
      <c r="J62" s="212">
        <f>'Elem Campus'!L23</f>
        <v>500</v>
      </c>
      <c r="K62" s="212">
        <f>'Elem Campus'!M23</f>
        <v>388</v>
      </c>
      <c r="L62" s="212">
        <f>'Elem Campus'!N23</f>
        <v>388</v>
      </c>
      <c r="M62" s="212">
        <f>'Elem Campus'!O23</f>
        <v>388</v>
      </c>
      <c r="N62" s="212">
        <f>'Elem Campus'!P23</f>
        <v>388</v>
      </c>
      <c r="O62" s="212">
        <f>'Elem Campus'!Q23</f>
        <v>388</v>
      </c>
      <c r="P62" s="212">
        <f>'Elem Campus'!R23</f>
        <v>388</v>
      </c>
      <c r="Q62" s="212">
        <f>'Elem Campus'!S23</f>
        <v>388</v>
      </c>
      <c r="R62" s="212">
        <f>'Elem Campus'!T23</f>
        <v>388</v>
      </c>
      <c r="S62" s="212">
        <f>'Elem Campus'!U23</f>
        <v>396</v>
      </c>
      <c r="T62" s="212">
        <f>'Elem Campus'!V23</f>
        <v>0</v>
      </c>
      <c r="U62" s="213"/>
      <c r="V62" s="230">
        <f t="shared" si="17"/>
        <v>6000</v>
      </c>
      <c r="W62" s="227"/>
      <c r="X62" s="227"/>
    </row>
    <row r="63" spans="1:24" ht="15.75" customHeight="1">
      <c r="A63" s="232"/>
      <c r="B63" s="207" t="s">
        <v>183</v>
      </c>
      <c r="C63" s="166">
        <f>'Elem Campus'!C24</f>
        <v>9000</v>
      </c>
      <c r="D63" s="167">
        <f>'Elem Campus'!D24</f>
        <v>4321</v>
      </c>
      <c r="E63" s="167">
        <f>'Elem Campus'!E24</f>
        <v>3000</v>
      </c>
      <c r="F63" s="167">
        <f>'Elem Campus'!F24</f>
        <v>6000</v>
      </c>
      <c r="G63" s="210">
        <f t="shared" si="9"/>
        <v>-3000</v>
      </c>
      <c r="H63" s="211"/>
      <c r="I63" s="212">
        <f>'Elem Campus'!K24</f>
        <v>2000</v>
      </c>
      <c r="J63" s="212">
        <f>'Elem Campus'!L24</f>
        <v>500</v>
      </c>
      <c r="K63" s="212">
        <f>'Elem Campus'!M24</f>
        <v>388</v>
      </c>
      <c r="L63" s="212">
        <f>'Elem Campus'!N24</f>
        <v>388</v>
      </c>
      <c r="M63" s="212">
        <f>'Elem Campus'!O24</f>
        <v>388</v>
      </c>
      <c r="N63" s="212">
        <f>'Elem Campus'!P24</f>
        <v>388</v>
      </c>
      <c r="O63" s="212">
        <f>'Elem Campus'!Q24</f>
        <v>388</v>
      </c>
      <c r="P63" s="212">
        <f>'Elem Campus'!R24</f>
        <v>388</v>
      </c>
      <c r="Q63" s="212">
        <f>'Elem Campus'!S24</f>
        <v>388</v>
      </c>
      <c r="R63" s="212">
        <f>'Elem Campus'!T24</f>
        <v>388</v>
      </c>
      <c r="S63" s="212">
        <f>'Elem Campus'!U24</f>
        <v>396</v>
      </c>
      <c r="T63" s="212">
        <f>'Elem Campus'!V24</f>
        <v>0</v>
      </c>
      <c r="U63" s="213"/>
      <c r="V63" s="230">
        <f t="shared" si="17"/>
        <v>6000</v>
      </c>
      <c r="W63" s="227"/>
      <c r="X63" s="227"/>
    </row>
    <row r="64" spans="1:24" ht="15.75" customHeight="1">
      <c r="A64" s="232"/>
      <c r="B64" s="207" t="s">
        <v>184</v>
      </c>
      <c r="C64" s="166">
        <f>'Elem Campus'!C25</f>
        <v>9000</v>
      </c>
      <c r="D64" s="167">
        <f>'Elem Campus'!D25</f>
        <v>4627</v>
      </c>
      <c r="E64" s="167">
        <f>'Elem Campus'!E25</f>
        <v>3000</v>
      </c>
      <c r="F64" s="167">
        <f>'Elem Campus'!F25</f>
        <v>6000</v>
      </c>
      <c r="G64" s="210">
        <f t="shared" si="9"/>
        <v>-3000</v>
      </c>
      <c r="H64" s="211"/>
      <c r="I64" s="212">
        <f>'Elem Campus'!K25</f>
        <v>2000</v>
      </c>
      <c r="J64" s="212">
        <f>'Elem Campus'!L25</f>
        <v>500</v>
      </c>
      <c r="K64" s="212">
        <f>'Elem Campus'!M25</f>
        <v>388</v>
      </c>
      <c r="L64" s="212">
        <f>'Elem Campus'!N25</f>
        <v>388</v>
      </c>
      <c r="M64" s="212">
        <f>'Elem Campus'!O25</f>
        <v>388</v>
      </c>
      <c r="N64" s="212">
        <f>'Elem Campus'!P25</f>
        <v>388</v>
      </c>
      <c r="O64" s="212">
        <f>'Elem Campus'!Q25</f>
        <v>388</v>
      </c>
      <c r="P64" s="212">
        <f>'Elem Campus'!R25</f>
        <v>388</v>
      </c>
      <c r="Q64" s="212">
        <f>'Elem Campus'!S25</f>
        <v>388</v>
      </c>
      <c r="R64" s="212">
        <f>'Elem Campus'!T25</f>
        <v>388</v>
      </c>
      <c r="S64" s="212">
        <f>'Elem Campus'!U25</f>
        <v>396</v>
      </c>
      <c r="T64" s="212">
        <f>'Elem Campus'!V25</f>
        <v>0</v>
      </c>
      <c r="U64" s="213"/>
      <c r="V64" s="230">
        <f t="shared" si="17"/>
        <v>6000</v>
      </c>
      <c r="W64" s="227"/>
      <c r="X64" s="227"/>
    </row>
    <row r="65" spans="1:24" ht="15.75" customHeight="1">
      <c r="A65" s="232"/>
      <c r="B65" s="207" t="s">
        <v>185</v>
      </c>
      <c r="C65" s="166">
        <f>'Elem Campus'!C27</f>
        <v>9000</v>
      </c>
      <c r="D65" s="167">
        <f>'Elem Campus'!D27</f>
        <v>6468</v>
      </c>
      <c r="E65" s="167">
        <f>'Elem Campus'!E27</f>
        <v>3500</v>
      </c>
      <c r="F65" s="167">
        <f>'Elem Campus'!F27</f>
        <v>12000</v>
      </c>
      <c r="G65" s="210">
        <f t="shared" si="9"/>
        <v>3000</v>
      </c>
      <c r="H65" s="211"/>
      <c r="I65" s="212">
        <f>'Elem Campus'!K27</f>
        <v>832</v>
      </c>
      <c r="J65" s="212">
        <f>'Elem Campus'!L27</f>
        <v>2000</v>
      </c>
      <c r="K65" s="212">
        <f>'Elem Campus'!M27</f>
        <v>828</v>
      </c>
      <c r="L65" s="212">
        <f>'Elem Campus'!N27</f>
        <v>828</v>
      </c>
      <c r="M65" s="212">
        <f>'Elem Campus'!O27</f>
        <v>1200</v>
      </c>
      <c r="N65" s="212">
        <f>'Elem Campus'!P27</f>
        <v>828</v>
      </c>
      <c r="O65" s="212">
        <f>'Elem Campus'!Q27</f>
        <v>1000</v>
      </c>
      <c r="P65" s="212">
        <f>'Elem Campus'!R27</f>
        <v>828</v>
      </c>
      <c r="Q65" s="212">
        <f>'Elem Campus'!S27</f>
        <v>828</v>
      </c>
      <c r="R65" s="212">
        <f>'Elem Campus'!T27</f>
        <v>828</v>
      </c>
      <c r="S65" s="212">
        <f>'Elem Campus'!U27</f>
        <v>2000</v>
      </c>
      <c r="T65" s="212">
        <f>'Elem Campus'!V27</f>
        <v>0</v>
      </c>
      <c r="U65" s="213"/>
      <c r="V65" s="230">
        <f t="shared" si="17"/>
        <v>12000</v>
      </c>
      <c r="W65" s="227"/>
      <c r="X65" s="227"/>
    </row>
    <row r="66" spans="1:24" ht="15.75" customHeight="1">
      <c r="A66" s="232"/>
      <c r="B66" s="207" t="s">
        <v>186</v>
      </c>
      <c r="C66" s="166">
        <f>'ESS &amp; Student Support'!C12</f>
        <v>3000</v>
      </c>
      <c r="D66" s="167">
        <f>'ESS &amp; Student Support'!D12</f>
        <v>1867.3</v>
      </c>
      <c r="E66" s="167">
        <f>'ESS &amp; Student Support'!E12</f>
        <v>1000</v>
      </c>
      <c r="F66" s="167">
        <f>'ESS &amp; Student Support'!F12</f>
        <v>3000</v>
      </c>
      <c r="G66" s="210">
        <f t="shared" si="9"/>
        <v>0</v>
      </c>
      <c r="H66" s="211"/>
      <c r="I66" s="212">
        <f>'ESS &amp; Student Support'!K12</f>
        <v>600</v>
      </c>
      <c r="J66" s="212">
        <f>'ESS &amp; Student Support'!L12</f>
        <v>1000</v>
      </c>
      <c r="K66" s="212">
        <f>'ESS &amp; Student Support'!M12</f>
        <v>200</v>
      </c>
      <c r="L66" s="212">
        <f>'ESS &amp; Student Support'!N12</f>
        <v>200</v>
      </c>
      <c r="M66" s="212">
        <f>'ESS &amp; Student Support'!O12</f>
        <v>200</v>
      </c>
      <c r="N66" s="212">
        <f>'ESS &amp; Student Support'!P12</f>
        <v>200</v>
      </c>
      <c r="O66" s="212">
        <f>'ESS &amp; Student Support'!Q12</f>
        <v>200</v>
      </c>
      <c r="P66" s="212">
        <f>'ESS &amp; Student Support'!R12</f>
        <v>200</v>
      </c>
      <c r="Q66" s="212">
        <f>'ESS &amp; Student Support'!S12</f>
        <v>200</v>
      </c>
      <c r="R66" s="212">
        <f>'ESS &amp; Student Support'!T12</f>
        <v>0</v>
      </c>
      <c r="S66" s="212">
        <f>'ESS &amp; Student Support'!U12</f>
        <v>0</v>
      </c>
      <c r="T66" s="212">
        <f>'ESS &amp; Student Support'!V12</f>
        <v>0</v>
      </c>
      <c r="U66" s="213"/>
      <c r="V66" s="230">
        <f t="shared" si="17"/>
        <v>3000</v>
      </c>
      <c r="W66" s="227"/>
      <c r="X66" s="227"/>
    </row>
    <row r="67" spans="1:24" ht="15.75" customHeight="1">
      <c r="A67" s="232"/>
      <c r="B67" s="207" t="s">
        <v>187</v>
      </c>
      <c r="C67" s="166">
        <f>'ESS &amp; Student Support'!C13</f>
        <v>5000</v>
      </c>
      <c r="D67" s="167">
        <f>'ESS &amp; Student Support'!D13</f>
        <v>3257.1699999999996</v>
      </c>
      <c r="E67" s="167">
        <f>'ESS &amp; Student Support'!E13</f>
        <v>1000</v>
      </c>
      <c r="F67" s="167">
        <f>'ESS &amp; Student Support'!F13</f>
        <v>5000</v>
      </c>
      <c r="G67" s="210">
        <f t="shared" si="9"/>
        <v>0</v>
      </c>
      <c r="H67" s="211"/>
      <c r="I67" s="212">
        <f>'ESS &amp; Student Support'!K13</f>
        <v>1000</v>
      </c>
      <c r="J67" s="212">
        <f>'ESS &amp; Student Support'!L13</f>
        <v>1000</v>
      </c>
      <c r="K67" s="212">
        <f>'ESS &amp; Student Support'!M13</f>
        <v>300</v>
      </c>
      <c r="L67" s="212">
        <f>'ESS &amp; Student Support'!N13</f>
        <v>300</v>
      </c>
      <c r="M67" s="212">
        <f>'ESS &amp; Student Support'!O13</f>
        <v>300</v>
      </c>
      <c r="N67" s="212">
        <f>'ESS &amp; Student Support'!P13</f>
        <v>200</v>
      </c>
      <c r="O67" s="212">
        <f>'ESS &amp; Student Support'!Q13</f>
        <v>1000</v>
      </c>
      <c r="P67" s="212">
        <f>'ESS &amp; Student Support'!R13</f>
        <v>300</v>
      </c>
      <c r="Q67" s="212">
        <f>'ESS &amp; Student Support'!S13</f>
        <v>300</v>
      </c>
      <c r="R67" s="212">
        <f>'ESS &amp; Student Support'!T13</f>
        <v>300</v>
      </c>
      <c r="S67" s="212">
        <f>'ESS &amp; Student Support'!U13</f>
        <v>0</v>
      </c>
      <c r="T67" s="212">
        <f>'ESS &amp; Student Support'!V13</f>
        <v>0</v>
      </c>
      <c r="U67" s="213"/>
      <c r="V67" s="230">
        <f t="shared" si="17"/>
        <v>5000</v>
      </c>
      <c r="W67" s="227"/>
      <c r="X67" s="227"/>
    </row>
    <row r="68" spans="1:24" ht="15.75" customHeight="1">
      <c r="A68" s="232"/>
      <c r="B68" s="207" t="s">
        <v>188</v>
      </c>
      <c r="C68" s="166">
        <f>'Information Tech'!C8</f>
        <v>0</v>
      </c>
      <c r="D68" s="233">
        <f>'Information Tech'!D8</f>
        <v>0</v>
      </c>
      <c r="E68" s="233">
        <f>'Information Tech'!E8</f>
        <v>5000</v>
      </c>
      <c r="F68" s="233">
        <f>'Information Tech'!F8</f>
        <v>10000</v>
      </c>
      <c r="G68" s="210">
        <f t="shared" si="9"/>
        <v>10000</v>
      </c>
      <c r="H68" s="211"/>
      <c r="I68" s="212">
        <f>'Information Tech'!K8</f>
        <v>909.09090909090912</v>
      </c>
      <c r="J68" s="212">
        <f>'Information Tech'!L8</f>
        <v>909.09090909090912</v>
      </c>
      <c r="K68" s="212">
        <f>'Information Tech'!M8</f>
        <v>909.09090909090912</v>
      </c>
      <c r="L68" s="212">
        <f>'Information Tech'!N8</f>
        <v>909.09090909090912</v>
      </c>
      <c r="M68" s="212">
        <f>'Information Tech'!O8</f>
        <v>909.09090909090912</v>
      </c>
      <c r="N68" s="212">
        <f>'Information Tech'!P8</f>
        <v>909.09090909090912</v>
      </c>
      <c r="O68" s="212">
        <f>'Information Tech'!Q8</f>
        <v>909.09090909090912</v>
      </c>
      <c r="P68" s="212">
        <f>'Information Tech'!R8</f>
        <v>909.09090909090912</v>
      </c>
      <c r="Q68" s="212">
        <f>'Information Tech'!S8</f>
        <v>909.09090909090912</v>
      </c>
      <c r="R68" s="212">
        <f>'Information Tech'!T8</f>
        <v>909.09090909090912</v>
      </c>
      <c r="S68" s="212">
        <f>'Information Tech'!U8</f>
        <v>909.09090909090912</v>
      </c>
      <c r="T68" s="212">
        <f>'Information Tech'!V8</f>
        <v>0</v>
      </c>
      <c r="U68" s="213"/>
      <c r="V68" s="230">
        <f t="shared" si="17"/>
        <v>10000.000000000002</v>
      </c>
      <c r="W68" s="227"/>
      <c r="X68" s="227"/>
    </row>
    <row r="69" spans="1:24" ht="15.75" customHeight="1">
      <c r="A69" s="232"/>
      <c r="B69" s="207" t="s">
        <v>189</v>
      </c>
      <c r="C69" s="208">
        <f>'Middle Campus'!C22</f>
        <v>4812.5</v>
      </c>
      <c r="D69" s="168">
        <f>'Middle Campus'!D22</f>
        <v>2823.5800000000004</v>
      </c>
      <c r="E69" s="168">
        <f>'Middle Campus'!E22</f>
        <v>1989</v>
      </c>
      <c r="F69" s="168">
        <f>'Middle Campus'!F22</f>
        <v>19812.5</v>
      </c>
      <c r="G69" s="210">
        <f t="shared" si="9"/>
        <v>15000</v>
      </c>
      <c r="H69" s="211"/>
      <c r="I69" s="212">
        <f>'Middle Campus'!K22</f>
        <v>1801.1363636363637</v>
      </c>
      <c r="J69" s="212">
        <f>'Middle Campus'!L22</f>
        <v>1801.1363636363637</v>
      </c>
      <c r="K69" s="212">
        <f>'Middle Campus'!M22</f>
        <v>1801.1363636363637</v>
      </c>
      <c r="L69" s="212">
        <f>'Middle Campus'!N22</f>
        <v>1801.1363636363637</v>
      </c>
      <c r="M69" s="212">
        <f>'Middle Campus'!O22</f>
        <v>1801.1363636363637</v>
      </c>
      <c r="N69" s="212">
        <f>'Middle Campus'!P22</f>
        <v>1801.1363636363637</v>
      </c>
      <c r="O69" s="212">
        <f>'Middle Campus'!Q22</f>
        <v>1801.1363636363637</v>
      </c>
      <c r="P69" s="212">
        <f>'Middle Campus'!R22</f>
        <v>1801.1363636363637</v>
      </c>
      <c r="Q69" s="212">
        <f>'Middle Campus'!S22</f>
        <v>1801.1363636363637</v>
      </c>
      <c r="R69" s="212">
        <f>'Middle Campus'!T22</f>
        <v>1801.1363636363637</v>
      </c>
      <c r="S69" s="212">
        <f>'Middle Campus'!U22</f>
        <v>1801.1363636363637</v>
      </c>
      <c r="T69" s="212">
        <f>'Middle Campus'!V22</f>
        <v>0</v>
      </c>
      <c r="U69" s="213"/>
      <c r="V69" s="230">
        <f t="shared" si="17"/>
        <v>19812.5</v>
      </c>
      <c r="W69" s="227"/>
      <c r="X69" s="227"/>
    </row>
    <row r="70" spans="1:24" ht="15.75" customHeight="1">
      <c r="A70" s="232"/>
      <c r="B70" s="207" t="s">
        <v>190</v>
      </c>
      <c r="C70" s="208">
        <f>'Middle Campus'!C23</f>
        <v>4812.5</v>
      </c>
      <c r="D70" s="168">
        <f>'Middle Campus'!D23</f>
        <v>1092.99</v>
      </c>
      <c r="E70" s="168">
        <f>'Middle Campus'!E23</f>
        <v>3720</v>
      </c>
      <c r="F70" s="168">
        <f>'Middle Campus'!F23</f>
        <v>4812.5</v>
      </c>
      <c r="G70" s="210">
        <f t="shared" si="9"/>
        <v>0</v>
      </c>
      <c r="H70" s="211"/>
      <c r="I70" s="212">
        <f>'Middle Campus'!K23</f>
        <v>437.5</v>
      </c>
      <c r="J70" s="212">
        <f>'Middle Campus'!L23</f>
        <v>437.5</v>
      </c>
      <c r="K70" s="212">
        <f>'Middle Campus'!M23</f>
        <v>437.5</v>
      </c>
      <c r="L70" s="212">
        <f>'Middle Campus'!N23</f>
        <v>437.5</v>
      </c>
      <c r="M70" s="212">
        <f>'Middle Campus'!O23</f>
        <v>437.5</v>
      </c>
      <c r="N70" s="212">
        <f>'Middle Campus'!P23</f>
        <v>437.5</v>
      </c>
      <c r="O70" s="212">
        <f>'Middle Campus'!Q23</f>
        <v>437.5</v>
      </c>
      <c r="P70" s="212">
        <f>'Middle Campus'!R23</f>
        <v>437.5</v>
      </c>
      <c r="Q70" s="212">
        <f>'Middle Campus'!S23</f>
        <v>437.5</v>
      </c>
      <c r="R70" s="212">
        <f>'Middle Campus'!T23</f>
        <v>437.5</v>
      </c>
      <c r="S70" s="212">
        <f>'Middle Campus'!U23</f>
        <v>437.5</v>
      </c>
      <c r="T70" s="212">
        <f>'Middle Campus'!V23</f>
        <v>0</v>
      </c>
      <c r="U70" s="213"/>
      <c r="V70" s="230">
        <f t="shared" si="17"/>
        <v>4812.5</v>
      </c>
      <c r="W70" s="227"/>
      <c r="X70" s="227"/>
    </row>
    <row r="71" spans="1:24" ht="15.75" customHeight="1">
      <c r="A71" s="232"/>
      <c r="B71" s="207" t="s">
        <v>191</v>
      </c>
      <c r="C71" s="208">
        <f>'Middle Campus'!C24</f>
        <v>4812.5</v>
      </c>
      <c r="D71" s="168">
        <f>'Middle Campus'!D24</f>
        <v>124.63</v>
      </c>
      <c r="E71" s="168">
        <f>'Middle Campus'!E24</f>
        <v>4688</v>
      </c>
      <c r="F71" s="168">
        <f>'Middle Campus'!F24</f>
        <v>4812.5</v>
      </c>
      <c r="G71" s="210">
        <f t="shared" si="9"/>
        <v>0</v>
      </c>
      <c r="H71" s="211"/>
      <c r="I71" s="212">
        <f>'Middle Campus'!K24</f>
        <v>437.5</v>
      </c>
      <c r="J71" s="212">
        <f>'Middle Campus'!L24</f>
        <v>437.5</v>
      </c>
      <c r="K71" s="212">
        <f>'Middle Campus'!M24</f>
        <v>437.5</v>
      </c>
      <c r="L71" s="212">
        <f>'Middle Campus'!N24</f>
        <v>437.5</v>
      </c>
      <c r="M71" s="212">
        <f>'Middle Campus'!O24</f>
        <v>437.5</v>
      </c>
      <c r="N71" s="212">
        <f>'Middle Campus'!P24</f>
        <v>437.5</v>
      </c>
      <c r="O71" s="212">
        <f>'Middle Campus'!Q24</f>
        <v>437.5</v>
      </c>
      <c r="P71" s="212">
        <f>'Middle Campus'!R24</f>
        <v>437.5</v>
      </c>
      <c r="Q71" s="212">
        <f>'Middle Campus'!S24</f>
        <v>437.5</v>
      </c>
      <c r="R71" s="212">
        <f>'Middle Campus'!T24</f>
        <v>437.5</v>
      </c>
      <c r="S71" s="212">
        <f>'Middle Campus'!U24</f>
        <v>437.5</v>
      </c>
      <c r="T71" s="212">
        <f>'Middle Campus'!V24</f>
        <v>0</v>
      </c>
      <c r="U71" s="213"/>
      <c r="V71" s="230">
        <f t="shared" si="17"/>
        <v>4812.5</v>
      </c>
      <c r="W71" s="227"/>
      <c r="X71" s="227"/>
    </row>
    <row r="72" spans="1:24" ht="15.75" customHeight="1">
      <c r="A72" s="232"/>
      <c r="B72" s="207" t="s">
        <v>192</v>
      </c>
      <c r="C72" s="208">
        <f>'Middle Campus'!C25</f>
        <v>4812.5</v>
      </c>
      <c r="D72" s="168">
        <f>'Middle Campus'!D25</f>
        <v>2936.65</v>
      </c>
      <c r="E72" s="168">
        <f>'Middle Campus'!E25</f>
        <v>1876</v>
      </c>
      <c r="F72" s="168">
        <f>'Middle Campus'!F25</f>
        <v>4812.5</v>
      </c>
      <c r="G72" s="210">
        <f t="shared" si="9"/>
        <v>0</v>
      </c>
      <c r="H72" s="211"/>
      <c r="I72" s="212">
        <f>'Middle Campus'!K25</f>
        <v>437.5</v>
      </c>
      <c r="J72" s="212">
        <f>'Middle Campus'!L25</f>
        <v>437.5</v>
      </c>
      <c r="K72" s="212">
        <f>'Middle Campus'!M25</f>
        <v>437.5</v>
      </c>
      <c r="L72" s="212">
        <f>'Middle Campus'!N25</f>
        <v>437.5</v>
      </c>
      <c r="M72" s="212">
        <f>'Middle Campus'!O25</f>
        <v>437.5</v>
      </c>
      <c r="N72" s="212">
        <f>'Middle Campus'!P25</f>
        <v>437.5</v>
      </c>
      <c r="O72" s="212">
        <f>'Middle Campus'!Q25</f>
        <v>437.5</v>
      </c>
      <c r="P72" s="212">
        <f>'Middle Campus'!R25</f>
        <v>437.5</v>
      </c>
      <c r="Q72" s="212">
        <f>'Middle Campus'!S25</f>
        <v>437.5</v>
      </c>
      <c r="R72" s="212">
        <f>'Middle Campus'!T25</f>
        <v>437.5</v>
      </c>
      <c r="S72" s="212">
        <f>'Middle Campus'!U25</f>
        <v>437.5</v>
      </c>
      <c r="T72" s="212">
        <f>'Middle Campus'!V25</f>
        <v>0</v>
      </c>
      <c r="U72" s="213"/>
      <c r="V72" s="230">
        <f t="shared" si="17"/>
        <v>4812.5</v>
      </c>
      <c r="W72" s="227"/>
      <c r="X72" s="227"/>
    </row>
    <row r="73" spans="1:24" ht="15.75" customHeight="1">
      <c r="A73" s="232"/>
      <c r="B73" s="207" t="s">
        <v>193</v>
      </c>
      <c r="C73" s="208">
        <f>'Middle Campus'!C26</f>
        <v>4812.5</v>
      </c>
      <c r="D73" s="168">
        <f>'Middle Campus'!D26</f>
        <v>1357.65</v>
      </c>
      <c r="E73" s="168">
        <f>'Middle Campus'!E26</f>
        <v>3455</v>
      </c>
      <c r="F73" s="168">
        <f>'Middle Campus'!F26</f>
        <v>4812.5</v>
      </c>
      <c r="G73" s="210">
        <f t="shared" si="9"/>
        <v>0</v>
      </c>
      <c r="H73" s="211"/>
      <c r="I73" s="212">
        <f>'Middle Campus'!K26</f>
        <v>437.5</v>
      </c>
      <c r="J73" s="212">
        <f>'Middle Campus'!L26</f>
        <v>437.5</v>
      </c>
      <c r="K73" s="212">
        <f>'Middle Campus'!M26</f>
        <v>437.5</v>
      </c>
      <c r="L73" s="212">
        <f>'Middle Campus'!N26</f>
        <v>437.5</v>
      </c>
      <c r="M73" s="212">
        <f>'Middle Campus'!O26</f>
        <v>437.5</v>
      </c>
      <c r="N73" s="212">
        <f>'Middle Campus'!P26</f>
        <v>437.5</v>
      </c>
      <c r="O73" s="212">
        <f>'Middle Campus'!Q26</f>
        <v>437.5</v>
      </c>
      <c r="P73" s="212">
        <f>'Middle Campus'!R26</f>
        <v>437.5</v>
      </c>
      <c r="Q73" s="212">
        <f>'Middle Campus'!S26</f>
        <v>437.5</v>
      </c>
      <c r="R73" s="212">
        <f>'Middle Campus'!T26</f>
        <v>437.5</v>
      </c>
      <c r="S73" s="212">
        <f>'Middle Campus'!U26</f>
        <v>437.5</v>
      </c>
      <c r="T73" s="212">
        <f>'Middle Campus'!V26</f>
        <v>0</v>
      </c>
      <c r="U73" s="234">
        <f>'Middle Campus'!W26</f>
        <v>0</v>
      </c>
      <c r="V73" s="230">
        <f t="shared" si="17"/>
        <v>4812.5</v>
      </c>
      <c r="W73" s="227"/>
      <c r="X73" s="227"/>
    </row>
    <row r="74" spans="1:24" ht="15.75" customHeight="1">
      <c r="A74" s="232"/>
      <c r="B74" s="207" t="s">
        <v>194</v>
      </c>
      <c r="C74" s="208">
        <f>'Middle Campus'!C27</f>
        <v>4812.5</v>
      </c>
      <c r="D74" s="168">
        <f>'Middle Campus'!D27</f>
        <v>1322.1200000000001</v>
      </c>
      <c r="E74" s="168">
        <f>'Middle Campus'!E27</f>
        <v>3490</v>
      </c>
      <c r="F74" s="168">
        <f>'Middle Campus'!F27</f>
        <v>4812.5</v>
      </c>
      <c r="G74" s="210">
        <f t="shared" si="9"/>
        <v>0</v>
      </c>
      <c r="H74" s="211"/>
      <c r="I74" s="212">
        <f>'Middle Campus'!K27</f>
        <v>437.5</v>
      </c>
      <c r="J74" s="212">
        <f>'Middle Campus'!L27</f>
        <v>437.5</v>
      </c>
      <c r="K74" s="212">
        <f>'Middle Campus'!M27</f>
        <v>437.5</v>
      </c>
      <c r="L74" s="212">
        <f>'Middle Campus'!N27</f>
        <v>437.5</v>
      </c>
      <c r="M74" s="212">
        <f>'Middle Campus'!O27</f>
        <v>437.5</v>
      </c>
      <c r="N74" s="212">
        <f>'Middle Campus'!P27</f>
        <v>437.5</v>
      </c>
      <c r="O74" s="212">
        <f>'Middle Campus'!Q27</f>
        <v>437.5</v>
      </c>
      <c r="P74" s="212">
        <f>'Middle Campus'!R27</f>
        <v>437.5</v>
      </c>
      <c r="Q74" s="212">
        <f>'Middle Campus'!S27</f>
        <v>437.5</v>
      </c>
      <c r="R74" s="212">
        <f>'Middle Campus'!T27</f>
        <v>437.5</v>
      </c>
      <c r="S74" s="212">
        <f>'Middle Campus'!U27</f>
        <v>437.5</v>
      </c>
      <c r="T74" s="212">
        <f>'Middle Campus'!V27</f>
        <v>0</v>
      </c>
      <c r="U74" s="213"/>
      <c r="V74" s="230">
        <f t="shared" si="17"/>
        <v>4812.5</v>
      </c>
      <c r="W74" s="227"/>
      <c r="X74" s="227"/>
    </row>
    <row r="75" spans="1:24" ht="15.75" customHeight="1">
      <c r="A75" s="232"/>
      <c r="B75" s="207" t="s">
        <v>195</v>
      </c>
      <c r="C75" s="208">
        <f>'Middle Campus'!C28</f>
        <v>4812.5</v>
      </c>
      <c r="D75" s="168">
        <f>'Middle Campus'!D28</f>
        <v>883.81</v>
      </c>
      <c r="E75" s="168">
        <f>'Middle Campus'!E28</f>
        <v>3929</v>
      </c>
      <c r="F75" s="168">
        <f>'Middle Campus'!F28</f>
        <v>4812.5</v>
      </c>
      <c r="G75" s="210">
        <f t="shared" si="9"/>
        <v>0</v>
      </c>
      <c r="H75" s="211"/>
      <c r="I75" s="212">
        <f>'Middle Campus'!K28</f>
        <v>437.5</v>
      </c>
      <c r="J75" s="212">
        <f>'Middle Campus'!L28</f>
        <v>437.5</v>
      </c>
      <c r="K75" s="212">
        <f>'Middle Campus'!M28</f>
        <v>437.5</v>
      </c>
      <c r="L75" s="212">
        <f>'Middle Campus'!N28</f>
        <v>437.5</v>
      </c>
      <c r="M75" s="212">
        <f>'Middle Campus'!O28</f>
        <v>437.5</v>
      </c>
      <c r="N75" s="212">
        <f>'Middle Campus'!P28</f>
        <v>437.5</v>
      </c>
      <c r="O75" s="212">
        <f>'Middle Campus'!Q28</f>
        <v>437.5</v>
      </c>
      <c r="P75" s="212">
        <f>'Middle Campus'!R28</f>
        <v>437.5</v>
      </c>
      <c r="Q75" s="212">
        <f>'Middle Campus'!S28</f>
        <v>437.5</v>
      </c>
      <c r="R75" s="212">
        <f>'Middle Campus'!T28</f>
        <v>437.5</v>
      </c>
      <c r="S75" s="212">
        <f>'Middle Campus'!U28</f>
        <v>437.5</v>
      </c>
      <c r="T75" s="212">
        <f>'Middle Campus'!V28</f>
        <v>0</v>
      </c>
      <c r="U75" s="213"/>
      <c r="V75" s="230">
        <f t="shared" si="17"/>
        <v>4812.5</v>
      </c>
      <c r="W75" s="227"/>
      <c r="X75" s="227"/>
    </row>
    <row r="76" spans="1:24" ht="15.75" customHeight="1">
      <c r="A76" s="232"/>
      <c r="B76" s="207" t="s">
        <v>196</v>
      </c>
      <c r="C76" s="208">
        <f>'Middle Campus'!C29</f>
        <v>4812.5</v>
      </c>
      <c r="D76" s="168">
        <f>'Middle Campus'!D29</f>
        <v>1299.02</v>
      </c>
      <c r="E76" s="168">
        <f>'Middle Campus'!E29</f>
        <v>3513</v>
      </c>
      <c r="F76" s="168">
        <f>'Middle Campus'!F29</f>
        <v>4812.5</v>
      </c>
      <c r="G76" s="210">
        <f t="shared" si="9"/>
        <v>0</v>
      </c>
      <c r="H76" s="211"/>
      <c r="I76" s="212">
        <f>'Middle Campus'!K29</f>
        <v>437.5</v>
      </c>
      <c r="J76" s="212">
        <f>'Middle Campus'!L29</f>
        <v>437.5</v>
      </c>
      <c r="K76" s="212">
        <f>'Middle Campus'!M29</f>
        <v>437.5</v>
      </c>
      <c r="L76" s="212">
        <f>'Middle Campus'!N29</f>
        <v>437.5</v>
      </c>
      <c r="M76" s="212">
        <f>'Middle Campus'!O29</f>
        <v>437.5</v>
      </c>
      <c r="N76" s="212">
        <f>'Middle Campus'!P29</f>
        <v>437.5</v>
      </c>
      <c r="O76" s="212">
        <f>'Middle Campus'!Q29</f>
        <v>437.5</v>
      </c>
      <c r="P76" s="212">
        <f>'Middle Campus'!R29</f>
        <v>437.5</v>
      </c>
      <c r="Q76" s="212">
        <f>'Middle Campus'!S29</f>
        <v>437.5</v>
      </c>
      <c r="R76" s="212">
        <f>'Middle Campus'!T29</f>
        <v>437.5</v>
      </c>
      <c r="S76" s="212">
        <f>'Middle Campus'!U29</f>
        <v>437.5</v>
      </c>
      <c r="T76" s="212">
        <f>'Middle Campus'!V29</f>
        <v>0</v>
      </c>
      <c r="U76" s="213"/>
      <c r="V76" s="230">
        <f t="shared" si="17"/>
        <v>4812.5</v>
      </c>
      <c r="W76" s="227"/>
      <c r="X76" s="227"/>
    </row>
    <row r="77" spans="1:24" ht="15.75" customHeight="1">
      <c r="A77" s="132"/>
      <c r="B77" s="207" t="s">
        <v>197</v>
      </c>
      <c r="C77" s="208">
        <f>'Middle Campus'!C30+'Elem Campus'!C29</f>
        <v>13000</v>
      </c>
      <c r="D77" s="215">
        <f>'Elem Campus'!D29+'Middle Campus'!D30</f>
        <v>0</v>
      </c>
      <c r="E77" s="215">
        <f>'Elem Campus'!E29+'Middle Campus'!E30</f>
        <v>850</v>
      </c>
      <c r="F77" s="215">
        <f>'Elem Campus'!F29+'Middle Campus'!F30</f>
        <v>7050</v>
      </c>
      <c r="G77" s="210">
        <f t="shared" si="9"/>
        <v>-5950</v>
      </c>
      <c r="H77" s="211"/>
      <c r="I77" s="212">
        <f>'Middle Campus'!K30+'Elem Campus'!K29</f>
        <v>595.4545454545455</v>
      </c>
      <c r="J77" s="212">
        <f>'Middle Campus'!L30+'Elem Campus'!L29</f>
        <v>995.4545454545455</v>
      </c>
      <c r="K77" s="212">
        <f>'Middle Campus'!M30+'Elem Campus'!M29</f>
        <v>595.4545454545455</v>
      </c>
      <c r="L77" s="212">
        <f>'Middle Campus'!N30+'Elem Campus'!N29</f>
        <v>595.4545454545455</v>
      </c>
      <c r="M77" s="212">
        <f>'Middle Campus'!O30+'Elem Campus'!O29</f>
        <v>595.4545454545455</v>
      </c>
      <c r="N77" s="212">
        <f>'Middle Campus'!P30+'Elem Campus'!P29</f>
        <v>695.4545454545455</v>
      </c>
      <c r="O77" s="212">
        <f>'Middle Campus'!Q30+'Elem Campus'!Q29</f>
        <v>595.4545454545455</v>
      </c>
      <c r="P77" s="212">
        <f>'Middle Campus'!R30+'Elem Campus'!R29</f>
        <v>595.4545454545455</v>
      </c>
      <c r="Q77" s="212">
        <f>'Middle Campus'!S30+'Elem Campus'!S29</f>
        <v>595.4545454545455</v>
      </c>
      <c r="R77" s="212">
        <f>'Middle Campus'!T30+'Elem Campus'!T29</f>
        <v>595.4545454545455</v>
      </c>
      <c r="S77" s="212">
        <f>'Middle Campus'!U30+'Elem Campus'!U29</f>
        <v>595.4545454545455</v>
      </c>
      <c r="T77" s="212">
        <f>'Middle Campus'!V30+'Elem Campus'!V29</f>
        <v>0</v>
      </c>
      <c r="U77" s="235"/>
      <c r="V77" s="230">
        <f t="shared" si="17"/>
        <v>7050.0000000000018</v>
      </c>
    </row>
    <row r="78" spans="1:24" ht="15.75" customHeight="1">
      <c r="A78" s="132"/>
      <c r="B78" s="207" t="s">
        <v>198</v>
      </c>
      <c r="C78" s="208">
        <f>'Middle Campus'!C31</f>
        <v>4000</v>
      </c>
      <c r="D78" s="168">
        <f>'Middle Campus'!D31</f>
        <v>0</v>
      </c>
      <c r="E78" s="168">
        <f>'Middle Campus'!E31</f>
        <v>1000</v>
      </c>
      <c r="F78" s="168">
        <f>'Middle Campus'!F31</f>
        <v>2900</v>
      </c>
      <c r="G78" s="210">
        <f t="shared" si="9"/>
        <v>-1100</v>
      </c>
      <c r="H78" s="211"/>
      <c r="I78" s="212">
        <f>'Middle Campus'!K31</f>
        <v>263.63636363636363</v>
      </c>
      <c r="J78" s="212">
        <f>'Middle Campus'!L31</f>
        <v>263.63636363636363</v>
      </c>
      <c r="K78" s="212">
        <f>'Middle Campus'!M31</f>
        <v>263.63636363636363</v>
      </c>
      <c r="L78" s="212">
        <f>'Middle Campus'!N31</f>
        <v>263.63636363636363</v>
      </c>
      <c r="M78" s="212">
        <f>'Middle Campus'!O31</f>
        <v>263.63636363636363</v>
      </c>
      <c r="N78" s="212">
        <f>'Middle Campus'!P31</f>
        <v>263.63636363636363</v>
      </c>
      <c r="O78" s="212">
        <f>'Middle Campus'!Q31</f>
        <v>263.63636363636363</v>
      </c>
      <c r="P78" s="212">
        <f>'Middle Campus'!R31</f>
        <v>263.63636363636363</v>
      </c>
      <c r="Q78" s="212">
        <f>'Middle Campus'!S31</f>
        <v>263.63636363636363</v>
      </c>
      <c r="R78" s="212">
        <f>'Middle Campus'!T31</f>
        <v>263.63636363636363</v>
      </c>
      <c r="S78" s="212">
        <f>'Middle Campus'!U31</f>
        <v>263.63636363636363</v>
      </c>
      <c r="T78" s="212">
        <f>'Middle Campus'!V31</f>
        <v>0</v>
      </c>
      <c r="U78" s="235"/>
      <c r="V78" s="230">
        <f t="shared" si="17"/>
        <v>2899.9999999999991</v>
      </c>
    </row>
    <row r="79" spans="1:24" ht="15.75" customHeight="1">
      <c r="A79" s="132"/>
      <c r="B79" s="207" t="s">
        <v>199</v>
      </c>
      <c r="C79" s="208">
        <f>'Middle Campus'!C32+'ESS &amp; Student Support'!C14</f>
        <v>4000</v>
      </c>
      <c r="D79" s="168">
        <f>'Middle Campus'!D32</f>
        <v>42.98</v>
      </c>
      <c r="E79" s="168">
        <f>'Middle Campus'!E32</f>
        <v>0</v>
      </c>
      <c r="F79" s="168">
        <f>'Middle Campus'!F32</f>
        <v>0</v>
      </c>
      <c r="G79" s="210">
        <f t="shared" si="9"/>
        <v>-4000</v>
      </c>
      <c r="H79" s="211"/>
      <c r="I79" s="212">
        <f>'Middle Campus'!K32</f>
        <v>0</v>
      </c>
      <c r="J79" s="212">
        <f>'Middle Campus'!L32</f>
        <v>0</v>
      </c>
      <c r="K79" s="212">
        <f>'Middle Campus'!M32</f>
        <v>0</v>
      </c>
      <c r="L79" s="212">
        <f>'Middle Campus'!N32</f>
        <v>0</v>
      </c>
      <c r="M79" s="212">
        <f>'Middle Campus'!O32</f>
        <v>0</v>
      </c>
      <c r="N79" s="212">
        <f>'Middle Campus'!P32</f>
        <v>0</v>
      </c>
      <c r="O79" s="212">
        <f>'Middle Campus'!Q32</f>
        <v>0</v>
      </c>
      <c r="P79" s="212">
        <f>'Middle Campus'!R32</f>
        <v>0</v>
      </c>
      <c r="Q79" s="212">
        <f>'Middle Campus'!S32</f>
        <v>0</v>
      </c>
      <c r="R79" s="212">
        <f>'Middle Campus'!T32</f>
        <v>0</v>
      </c>
      <c r="S79" s="212">
        <f>'Middle Campus'!U32</f>
        <v>0</v>
      </c>
      <c r="T79" s="212">
        <f>'Middle Campus'!V32</f>
        <v>0</v>
      </c>
      <c r="U79" s="235"/>
      <c r="V79" s="230">
        <f t="shared" si="17"/>
        <v>0</v>
      </c>
    </row>
    <row r="80" spans="1:24" ht="15.75" customHeight="1">
      <c r="A80" s="132"/>
      <c r="B80" s="207" t="s">
        <v>200</v>
      </c>
      <c r="C80" s="208">
        <f>'Elem Campus'!C26+'Middle Campus'!C33</f>
        <v>0</v>
      </c>
      <c r="D80" s="168">
        <f>'Elem Campus'!D26+'Middle Campus'!D33</f>
        <v>0</v>
      </c>
      <c r="E80" s="168">
        <f>'Elem Campus'!E26+'Middle Campus'!E33</f>
        <v>0</v>
      </c>
      <c r="F80" s="168">
        <f>'Elem Campus'!F26+'Middle Campus'!F33</f>
        <v>1000</v>
      </c>
      <c r="G80" s="210">
        <f t="shared" si="9"/>
        <v>1000</v>
      </c>
      <c r="H80" s="211"/>
      <c r="I80" s="212">
        <f>'Elem Campus'!K26+'Middle Campus'!K33</f>
        <v>400</v>
      </c>
      <c r="J80" s="212">
        <f>'Elem Campus'!L26+'Middle Campus'!L33</f>
        <v>0</v>
      </c>
      <c r="K80" s="212">
        <f>'Elem Campus'!M26+'Middle Campus'!M33</f>
        <v>0</v>
      </c>
      <c r="L80" s="212">
        <f>'Elem Campus'!N26+'Middle Campus'!N33</f>
        <v>0</v>
      </c>
      <c r="M80" s="212">
        <f>'Elem Campus'!O26+'Middle Campus'!O33</f>
        <v>300</v>
      </c>
      <c r="N80" s="212">
        <f>'Elem Campus'!P26+'Middle Campus'!P33</f>
        <v>0</v>
      </c>
      <c r="O80" s="212">
        <f>'Elem Campus'!Q26+'Middle Campus'!Q33</f>
        <v>0</v>
      </c>
      <c r="P80" s="212">
        <f>'Elem Campus'!R26+'Middle Campus'!R33</f>
        <v>0</v>
      </c>
      <c r="Q80" s="212">
        <f>'Elem Campus'!S26+'Middle Campus'!S33</f>
        <v>300</v>
      </c>
      <c r="R80" s="212">
        <f>'Elem Campus'!T26+'Middle Campus'!T33</f>
        <v>0</v>
      </c>
      <c r="S80" s="212">
        <v>0</v>
      </c>
      <c r="T80" s="212">
        <v>0</v>
      </c>
      <c r="U80" s="235"/>
      <c r="V80" s="230">
        <f t="shared" si="17"/>
        <v>1000</v>
      </c>
    </row>
    <row r="81" spans="1:24" ht="15.75" customHeight="1">
      <c r="A81" s="132"/>
      <c r="B81" s="207" t="s">
        <v>166</v>
      </c>
      <c r="C81" s="208">
        <f>'Middle Campus'!C34</f>
        <v>0</v>
      </c>
      <c r="D81" s="168">
        <f>'Middle Campus'!D34</f>
        <v>197.7</v>
      </c>
      <c r="E81" s="168">
        <f>'Middle Campus'!E34</f>
        <v>0</v>
      </c>
      <c r="F81" s="168">
        <f>'Middle Campus'!F34</f>
        <v>500</v>
      </c>
      <c r="G81" s="210">
        <f t="shared" si="9"/>
        <v>500</v>
      </c>
      <c r="H81" s="211"/>
      <c r="I81" s="212">
        <f>'Middle Campus'!K34</f>
        <v>200</v>
      </c>
      <c r="J81" s="212">
        <f>'Middle Campus'!L34</f>
        <v>0</v>
      </c>
      <c r="K81" s="212">
        <f>'Middle Campus'!M34</f>
        <v>0</v>
      </c>
      <c r="L81" s="212">
        <f>'Middle Campus'!N34</f>
        <v>0</v>
      </c>
      <c r="M81" s="212">
        <f>'Middle Campus'!O34</f>
        <v>150</v>
      </c>
      <c r="N81" s="212">
        <f>'Middle Campus'!P34</f>
        <v>0</v>
      </c>
      <c r="O81" s="212">
        <f>'Middle Campus'!Q34</f>
        <v>0</v>
      </c>
      <c r="P81" s="212">
        <f>'Middle Campus'!R34</f>
        <v>0</v>
      </c>
      <c r="Q81" s="212">
        <f>'Middle Campus'!S34</f>
        <v>150</v>
      </c>
      <c r="R81" s="212">
        <f>'Middle Campus'!T34</f>
        <v>0</v>
      </c>
      <c r="S81" s="212">
        <f>'Middle Campus'!U34</f>
        <v>0</v>
      </c>
      <c r="T81" s="212">
        <f>'Middle Campus'!V34</f>
        <v>0</v>
      </c>
      <c r="U81" s="235"/>
      <c r="V81" s="230">
        <f t="shared" si="17"/>
        <v>500</v>
      </c>
    </row>
    <row r="82" spans="1:24" ht="15.75" customHeight="1">
      <c r="A82" s="132"/>
      <c r="B82" s="207" t="s">
        <v>201</v>
      </c>
      <c r="C82" s="208">
        <f>'Middle Campus'!C35+'Elem Campus'!C28</f>
        <v>5000</v>
      </c>
      <c r="D82" s="168">
        <f>'Middle Campus'!D35+'Elem Campus'!D28</f>
        <v>0</v>
      </c>
      <c r="E82" s="168">
        <f>'Middle Campus'!E35+'Elem Campus'!E28</f>
        <v>100</v>
      </c>
      <c r="F82" s="168">
        <f>'Middle Campus'!F35+'Elem Campus'!F28</f>
        <v>1650</v>
      </c>
      <c r="G82" s="210">
        <f t="shared" si="9"/>
        <v>-3350</v>
      </c>
      <c r="H82" s="211"/>
      <c r="I82" s="212">
        <f>'Middle Campus'!K35+'Elem Campus'!K28</f>
        <v>161.36363636363637</v>
      </c>
      <c r="J82" s="212">
        <f>'Middle Campus'!L35+'Elem Campus'!L28</f>
        <v>211.36363636363637</v>
      </c>
      <c r="K82" s="212">
        <f>'Middle Campus'!M35+'Elem Campus'!M28</f>
        <v>136.36363636363637</v>
      </c>
      <c r="L82" s="212">
        <f>'Middle Campus'!N35+'Elem Campus'!N28</f>
        <v>136.36363636363637</v>
      </c>
      <c r="M82" s="212">
        <f>'Middle Campus'!O35+'Elem Campus'!O28</f>
        <v>136.36363636363637</v>
      </c>
      <c r="N82" s="212">
        <f>'Middle Campus'!P35+'Elem Campus'!P28</f>
        <v>161.36363636363637</v>
      </c>
      <c r="O82" s="212">
        <f>'Middle Campus'!Q35+'Elem Campus'!Q28</f>
        <v>136.36363636363637</v>
      </c>
      <c r="P82" s="212">
        <f>'Middle Campus'!R35+'Elem Campus'!R28</f>
        <v>136.36363636363637</v>
      </c>
      <c r="Q82" s="212">
        <f>'Middle Campus'!S35+'Elem Campus'!S28</f>
        <v>136.36363636363637</v>
      </c>
      <c r="R82" s="212">
        <f>'Middle Campus'!T35+'Elem Campus'!T28</f>
        <v>136.36363636363637</v>
      </c>
      <c r="S82" s="212">
        <f>'Middle Campus'!U35+'Elem Campus'!U28</f>
        <v>161.36363636363637</v>
      </c>
      <c r="T82" s="212">
        <f>'Middle Campus'!V35+'Elem Campus'!V28</f>
        <v>0</v>
      </c>
      <c r="U82" s="235"/>
      <c r="V82" s="230">
        <f t="shared" si="17"/>
        <v>1650.0000000000005</v>
      </c>
    </row>
    <row r="83" spans="1:24" ht="15.75" customHeight="1">
      <c r="A83" s="132"/>
      <c r="B83" s="132" t="s">
        <v>202</v>
      </c>
      <c r="C83" s="166">
        <f>Farm!C10</f>
        <v>0</v>
      </c>
      <c r="D83" s="168">
        <f>Farm!D10</f>
        <v>1035.3499999999999</v>
      </c>
      <c r="E83" s="168">
        <f>Farm!E10</f>
        <v>1000</v>
      </c>
      <c r="F83" s="168">
        <f>Farm!F10</f>
        <v>4000</v>
      </c>
      <c r="G83" s="210">
        <f t="shared" si="9"/>
        <v>4000</v>
      </c>
      <c r="H83" s="211"/>
      <c r="I83" s="212">
        <f>Farm!K10</f>
        <v>333.33333333333331</v>
      </c>
      <c r="J83" s="212">
        <f>Farm!L10</f>
        <v>333.33333333333331</v>
      </c>
      <c r="K83" s="212">
        <f>Farm!M10</f>
        <v>333.33333333333331</v>
      </c>
      <c r="L83" s="212">
        <f>Farm!N10</f>
        <v>333.33333333333331</v>
      </c>
      <c r="M83" s="212">
        <f>Farm!O10</f>
        <v>333.33333333333331</v>
      </c>
      <c r="N83" s="212">
        <f>Farm!P10</f>
        <v>333.33333333333331</v>
      </c>
      <c r="O83" s="212">
        <f>Farm!Q10</f>
        <v>333.33333333333331</v>
      </c>
      <c r="P83" s="212">
        <f>Farm!R10</f>
        <v>333.33333333333331</v>
      </c>
      <c r="Q83" s="212">
        <f>Farm!S10</f>
        <v>333.33333333333331</v>
      </c>
      <c r="R83" s="212">
        <f>Farm!T10</f>
        <v>333.33333333333331</v>
      </c>
      <c r="S83" s="212">
        <f>Farm!U10</f>
        <v>333.33333333333331</v>
      </c>
      <c r="T83" s="212">
        <f>Farm!V10</f>
        <v>333.33333333333331</v>
      </c>
      <c r="U83" s="235"/>
      <c r="V83" s="230">
        <f t="shared" si="17"/>
        <v>4000.0000000000005</v>
      </c>
    </row>
    <row r="84" spans="1:24" ht="15.75" customHeight="1">
      <c r="A84" s="132"/>
      <c r="B84" s="132" t="s">
        <v>203</v>
      </c>
      <c r="C84" s="166">
        <f>'Media Center - EC'!C9</f>
        <v>2000</v>
      </c>
      <c r="D84" s="167">
        <f>'Media Center - EC'!D9</f>
        <v>2390.9000000000005</v>
      </c>
      <c r="E84" s="167">
        <f>'Media Center - EC'!E9</f>
        <v>0</v>
      </c>
      <c r="F84" s="167">
        <f>'Media Center - EC'!F9</f>
        <v>2000</v>
      </c>
      <c r="G84" s="210">
        <f t="shared" si="9"/>
        <v>0</v>
      </c>
      <c r="H84" s="211"/>
      <c r="I84" s="212">
        <f>'Media Center - EC'!K9</f>
        <v>1000</v>
      </c>
      <c r="J84" s="212">
        <f>'Media Center - EC'!L9</f>
        <v>100</v>
      </c>
      <c r="K84" s="212">
        <f>'Media Center - EC'!M9</f>
        <v>100</v>
      </c>
      <c r="L84" s="212">
        <f>'Media Center - EC'!N9</f>
        <v>100</v>
      </c>
      <c r="M84" s="212">
        <f>'Media Center - EC'!O9</f>
        <v>100</v>
      </c>
      <c r="N84" s="212">
        <f>'Media Center - EC'!P9</f>
        <v>100</v>
      </c>
      <c r="O84" s="212">
        <f>'Media Center - EC'!Q9</f>
        <v>100</v>
      </c>
      <c r="P84" s="212">
        <f>'Media Center - EC'!R9</f>
        <v>100</v>
      </c>
      <c r="Q84" s="212">
        <f>'Media Center - EC'!S9</f>
        <v>100</v>
      </c>
      <c r="R84" s="212">
        <f>'Media Center - EC'!T9</f>
        <v>100</v>
      </c>
      <c r="S84" s="212">
        <f>'Media Center - EC'!U9</f>
        <v>100</v>
      </c>
      <c r="T84" s="212">
        <f>'Media Center - EC'!V9</f>
        <v>0</v>
      </c>
      <c r="U84" s="235"/>
      <c r="V84" s="230">
        <f t="shared" si="17"/>
        <v>2000</v>
      </c>
    </row>
    <row r="85" spans="1:24" ht="15.75" customHeight="1">
      <c r="A85" s="128"/>
      <c r="B85" s="132" t="s">
        <v>204</v>
      </c>
      <c r="C85" s="166">
        <f>'Media Center - MC'!C8</f>
        <v>0</v>
      </c>
      <c r="D85" s="167">
        <f>'Media Center - MC'!D8</f>
        <v>3244.04</v>
      </c>
      <c r="E85" s="167">
        <f>'Media Center - MC'!E8</f>
        <v>2060</v>
      </c>
      <c r="F85" s="167">
        <f>'Media Center - MC'!F8</f>
        <v>2100</v>
      </c>
      <c r="G85" s="210">
        <f t="shared" si="9"/>
        <v>2100</v>
      </c>
      <c r="H85" s="211"/>
      <c r="I85" s="212">
        <f>'Media Center - MC'!K8</f>
        <v>500</v>
      </c>
      <c r="J85" s="212">
        <f>'Media Center - MC'!L8</f>
        <v>1000</v>
      </c>
      <c r="K85" s="212">
        <f>'Media Center - MC'!M8</f>
        <v>0</v>
      </c>
      <c r="L85" s="212">
        <f>'Media Center - MC'!N8</f>
        <v>100</v>
      </c>
      <c r="M85" s="212">
        <f>'Media Center - MC'!O8</f>
        <v>0</v>
      </c>
      <c r="N85" s="212">
        <f>'Media Center - MC'!P8</f>
        <v>100</v>
      </c>
      <c r="O85" s="212">
        <f>'Media Center - MC'!Q8</f>
        <v>0</v>
      </c>
      <c r="P85" s="212">
        <f>'Media Center - MC'!R8</f>
        <v>100</v>
      </c>
      <c r="Q85" s="212">
        <f>'Media Center - MC'!S8</f>
        <v>100</v>
      </c>
      <c r="R85" s="212">
        <f>'Media Center - MC'!T8</f>
        <v>100</v>
      </c>
      <c r="S85" s="212">
        <f>'Media Center - MC'!U8</f>
        <v>100</v>
      </c>
      <c r="T85" s="212">
        <f>'Media Center - MC'!V8</f>
        <v>0</v>
      </c>
      <c r="U85" s="213"/>
      <c r="V85" s="230">
        <f t="shared" si="17"/>
        <v>2100</v>
      </c>
      <c r="W85" s="227"/>
      <c r="X85" s="227"/>
    </row>
    <row r="86" spans="1:24" ht="15.75" customHeight="1">
      <c r="A86" s="128"/>
      <c r="B86" s="185" t="s">
        <v>205</v>
      </c>
      <c r="C86" s="216">
        <f t="shared" ref="C86:F86" si="18">SUM(C87:C94)</f>
        <v>180300</v>
      </c>
      <c r="D86" s="236">
        <f t="shared" si="18"/>
        <v>144398.1</v>
      </c>
      <c r="E86" s="236">
        <f t="shared" si="18"/>
        <v>96432.92</v>
      </c>
      <c r="F86" s="237">
        <f t="shared" si="18"/>
        <v>300100</v>
      </c>
      <c r="G86" s="224">
        <f t="shared" si="9"/>
        <v>119800</v>
      </c>
      <c r="H86" s="219"/>
      <c r="I86" s="225">
        <f t="shared" ref="I86:T86" si="19">SUM(I87:I94)</f>
        <v>500</v>
      </c>
      <c r="J86" s="225">
        <f t="shared" si="19"/>
        <v>35900</v>
      </c>
      <c r="K86" s="225">
        <f t="shared" si="19"/>
        <v>24655.555555555555</v>
      </c>
      <c r="L86" s="225">
        <f t="shared" si="19"/>
        <v>20555.555555555555</v>
      </c>
      <c r="M86" s="225">
        <f t="shared" si="19"/>
        <v>44055.555555555555</v>
      </c>
      <c r="N86" s="225">
        <f t="shared" si="19"/>
        <v>31005.555555555555</v>
      </c>
      <c r="O86" s="225">
        <f t="shared" si="19"/>
        <v>45605.555555555555</v>
      </c>
      <c r="P86" s="225">
        <f t="shared" si="19"/>
        <v>41055.555555555555</v>
      </c>
      <c r="Q86" s="225">
        <f t="shared" si="19"/>
        <v>28255.555555555555</v>
      </c>
      <c r="R86" s="225">
        <f t="shared" si="19"/>
        <v>9755.5555555555547</v>
      </c>
      <c r="S86" s="225">
        <f t="shared" si="19"/>
        <v>18755.555555555555</v>
      </c>
      <c r="T86" s="225">
        <f t="shared" si="19"/>
        <v>0</v>
      </c>
      <c r="U86" s="213"/>
      <c r="V86" s="225">
        <f>SUM(V87:V94)</f>
        <v>300100</v>
      </c>
      <c r="W86" s="227"/>
      <c r="X86" s="227"/>
    </row>
    <row r="87" spans="1:24" ht="15.75" customHeight="1">
      <c r="A87" s="128"/>
      <c r="B87" s="207" t="s">
        <v>142</v>
      </c>
      <c r="C87" s="208">
        <f>'Aftercare - EC'!C10+'Aftercare - MC'!C10+PTCA!C10</f>
        <v>23600</v>
      </c>
      <c r="D87" s="168">
        <f>'Aftercare - EC'!D10+'Aftercare - MC'!D10+PTCA!D10</f>
        <v>9150.99</v>
      </c>
      <c r="E87" s="168">
        <f>'Aftercare - EC'!E10+'Aftercare - MC'!E10+PTCA!E10</f>
        <v>10000</v>
      </c>
      <c r="F87" s="168">
        <f>'Aftercare - EC'!F10+'Aftercare - MC'!F10+PTCA!F10</f>
        <v>23000</v>
      </c>
      <c r="G87" s="210">
        <f t="shared" si="9"/>
        <v>-600</v>
      </c>
      <c r="H87" s="211"/>
      <c r="I87" s="208">
        <f>'Aftercare - EC'!K10+'Aftercare - MC'!K10+PTCA!K10</f>
        <v>0</v>
      </c>
      <c r="J87" s="212">
        <f>'Aftercare - EC'!L10+'Aftercare - MC'!L10+PTCA!L10</f>
        <v>2900</v>
      </c>
      <c r="K87" s="212">
        <f>'Aftercare - EC'!M10+'Aftercare - MC'!M10+PTCA!M10</f>
        <v>2200</v>
      </c>
      <c r="L87" s="212">
        <f>'Aftercare - EC'!N10+'Aftercare - MC'!N10+PTCA!N10</f>
        <v>2200</v>
      </c>
      <c r="M87" s="212">
        <f>'Aftercare - EC'!O10+'Aftercare - MC'!O10+PTCA!O10</f>
        <v>2200</v>
      </c>
      <c r="N87" s="212">
        <f>'Aftercare - EC'!P10+'Aftercare - MC'!P10+PTCA!P10</f>
        <v>2200</v>
      </c>
      <c r="O87" s="212">
        <f>'Aftercare - EC'!Q10+'Aftercare - MC'!Q10+PTCA!Q10</f>
        <v>2500</v>
      </c>
      <c r="P87" s="212">
        <f>'Aftercare - EC'!R10+'Aftercare - MC'!R10+PTCA!R10</f>
        <v>2200</v>
      </c>
      <c r="Q87" s="212">
        <f>'Aftercare - EC'!S10+'Aftercare - MC'!S10+PTCA!S10</f>
        <v>2200</v>
      </c>
      <c r="R87" s="212">
        <f>'Aftercare - EC'!T10+'Aftercare - MC'!T10+PTCA!T10</f>
        <v>2200</v>
      </c>
      <c r="S87" s="212">
        <f>'Aftercare - EC'!U10+'Aftercare - MC'!U10+PTCA!U10</f>
        <v>2200</v>
      </c>
      <c r="T87" s="212">
        <f>'Aftercare - EC'!V10+'Aftercare - MC'!V10+PTCA!V10</f>
        <v>0</v>
      </c>
      <c r="U87" s="213"/>
      <c r="V87" s="230">
        <f t="shared" ref="V87:V94" si="20">SUM(I87:T87)</f>
        <v>23000</v>
      </c>
    </row>
    <row r="88" spans="1:24" ht="15.75" customHeight="1">
      <c r="A88" s="128"/>
      <c r="B88" s="207" t="s">
        <v>206</v>
      </c>
      <c r="C88" s="208">
        <f>'Elem Campus'!C13+'Middle Campus'!C13</f>
        <v>20000</v>
      </c>
      <c r="D88" s="168">
        <f>'Elem Campus'!D13+'Middle Campus'!D13</f>
        <v>12705.119999999999</v>
      </c>
      <c r="E88" s="168">
        <f>'Elem Campus'!E13+'Middle Campus'!E13</f>
        <v>11500</v>
      </c>
      <c r="F88" s="168">
        <f>'Elem Campus'!F13+'Middle Campus'!F13</f>
        <v>35000</v>
      </c>
      <c r="G88" s="210">
        <f t="shared" si="9"/>
        <v>15000</v>
      </c>
      <c r="H88" s="211"/>
      <c r="I88" s="212">
        <f>'Elem Campus'!K13+'Middle Campus'!K13</f>
        <v>0</v>
      </c>
      <c r="J88" s="212">
        <f>'Elem Campus'!L13+'Middle Campus'!L13</f>
        <v>3000</v>
      </c>
      <c r="K88" s="212">
        <f>'Elem Campus'!M13+'Middle Campus'!M13</f>
        <v>4000</v>
      </c>
      <c r="L88" s="212">
        <f>'Elem Campus'!N13+'Middle Campus'!N13</f>
        <v>4000</v>
      </c>
      <c r="M88" s="212">
        <f>'Elem Campus'!O13+'Middle Campus'!O13</f>
        <v>4000</v>
      </c>
      <c r="N88" s="212">
        <f>'Elem Campus'!P13+'Middle Campus'!P13</f>
        <v>4000</v>
      </c>
      <c r="O88" s="212">
        <f>'Elem Campus'!Q13+'Middle Campus'!Q13</f>
        <v>4000</v>
      </c>
      <c r="P88" s="212">
        <f>'Elem Campus'!R13+'Middle Campus'!R13</f>
        <v>3000</v>
      </c>
      <c r="Q88" s="212">
        <f>'Elem Campus'!S13+'Middle Campus'!S13</f>
        <v>3000</v>
      </c>
      <c r="R88" s="212">
        <f>'Elem Campus'!T13+'Middle Campus'!T13</f>
        <v>3000</v>
      </c>
      <c r="S88" s="212">
        <f>'Elem Campus'!U13+'Middle Campus'!U13</f>
        <v>3000</v>
      </c>
      <c r="T88" s="212">
        <f>'Elem Campus'!V13+'Middle Campus'!V13</f>
        <v>0</v>
      </c>
      <c r="U88" s="213"/>
      <c r="V88" s="230">
        <f t="shared" si="20"/>
        <v>35000</v>
      </c>
    </row>
    <row r="89" spans="1:24" ht="15.75" customHeight="1">
      <c r="A89" s="128"/>
      <c r="B89" s="207" t="s">
        <v>207</v>
      </c>
      <c r="C89" s="208">
        <f>'Elem Campus'!C14+'Middle Campus'!C14</f>
        <v>45000</v>
      </c>
      <c r="D89" s="168">
        <f>'Elem Campus'!D14+'Middle Campus'!D14</f>
        <v>6818.6</v>
      </c>
      <c r="E89" s="168">
        <f>'Elem Campus'!E14+'Middle Campus'!E14</f>
        <v>59664.92</v>
      </c>
      <c r="F89" s="168">
        <f>'Elem Campus'!F14+'Middle Campus'!F14</f>
        <v>56000</v>
      </c>
      <c r="G89" s="210">
        <f t="shared" si="9"/>
        <v>11000</v>
      </c>
      <c r="H89" s="211"/>
      <c r="I89" s="212">
        <f>'Elem Campus'!K14+'Middle Campus'!K14</f>
        <v>0</v>
      </c>
      <c r="J89" s="212">
        <f>'Elem Campus'!L14+'Middle Campus'!L14</f>
        <v>0</v>
      </c>
      <c r="K89" s="212">
        <f>'Elem Campus'!M14+'Middle Campus'!M14</f>
        <v>0</v>
      </c>
      <c r="L89" s="212">
        <f>'Elem Campus'!N14+'Middle Campus'!N14</f>
        <v>0</v>
      </c>
      <c r="M89" s="212">
        <f>'Elem Campus'!O14+'Middle Campus'!O14</f>
        <v>10000</v>
      </c>
      <c r="N89" s="212">
        <f>'Elem Campus'!P14+'Middle Campus'!P14</f>
        <v>10000</v>
      </c>
      <c r="O89" s="212">
        <f>'Elem Campus'!Q14+'Middle Campus'!Q14</f>
        <v>10000</v>
      </c>
      <c r="P89" s="212">
        <f>'Elem Campus'!R14+'Middle Campus'!R14</f>
        <v>10000</v>
      </c>
      <c r="Q89" s="212">
        <f>'Elem Campus'!S14+'Middle Campus'!S14</f>
        <v>16000</v>
      </c>
      <c r="R89" s="212">
        <f>'Elem Campus'!T14+'Middle Campus'!T14</f>
        <v>0</v>
      </c>
      <c r="S89" s="212">
        <f>'Elem Campus'!U14+'Middle Campus'!U14</f>
        <v>0</v>
      </c>
      <c r="T89" s="212">
        <f>'Elem Campus'!V14+'Middle Campus'!V14</f>
        <v>0</v>
      </c>
      <c r="U89" s="213"/>
      <c r="V89" s="230">
        <f t="shared" si="20"/>
        <v>56000</v>
      </c>
    </row>
    <row r="90" spans="1:24" ht="15.75" customHeight="1">
      <c r="A90" s="128"/>
      <c r="B90" s="132" t="s">
        <v>208</v>
      </c>
      <c r="C90" s="208">
        <f>'Elem Campus'!C15+'Middle Campus'!C15</f>
        <v>0</v>
      </c>
      <c r="D90" s="168">
        <f>'Elem Campus'!D15+'Middle Campus'!D15</f>
        <v>3966</v>
      </c>
      <c r="E90" s="168">
        <f>'Elem Campus'!E15+'Middle Campus'!E15</f>
        <v>2268</v>
      </c>
      <c r="F90" s="168">
        <f>'Elem Campus'!F15+'Middle Campus'!F15</f>
        <v>35000</v>
      </c>
      <c r="G90" s="210">
        <f t="shared" si="9"/>
        <v>35000</v>
      </c>
      <c r="H90" s="211"/>
      <c r="I90" s="238">
        <f>'Elem Campus'!K15+'Middle Campus'!K15</f>
        <v>0</v>
      </c>
      <c r="J90" s="238">
        <f>'Elem Campus'!L15+'Middle Campus'!L15</f>
        <v>0</v>
      </c>
      <c r="K90" s="238">
        <f>'Elem Campus'!M15+'Middle Campus'!M15</f>
        <v>555.55555555555554</v>
      </c>
      <c r="L90" s="238">
        <f>'Elem Campus'!N15+'Middle Campus'!N15</f>
        <v>555.55555555555554</v>
      </c>
      <c r="M90" s="238">
        <f>'Elem Campus'!O15+'Middle Campus'!O15</f>
        <v>555.55555555555554</v>
      </c>
      <c r="N90" s="238">
        <f>'Elem Campus'!P15+'Middle Campus'!P15</f>
        <v>10555.555555555555</v>
      </c>
      <c r="O90" s="238">
        <f>'Elem Campus'!Q15+'Middle Campus'!Q15</f>
        <v>10555.555555555555</v>
      </c>
      <c r="P90" s="238">
        <f>'Elem Campus'!R15+'Middle Campus'!R15</f>
        <v>10555.555555555555</v>
      </c>
      <c r="Q90" s="238">
        <f>'Elem Campus'!S15+'Middle Campus'!S15</f>
        <v>555.55555555555554</v>
      </c>
      <c r="R90" s="238">
        <f>'Elem Campus'!T15+'Middle Campus'!T15</f>
        <v>555.55555555555554</v>
      </c>
      <c r="S90" s="238">
        <f>'Elem Campus'!U15+'Middle Campus'!U15</f>
        <v>555.55555555555554</v>
      </c>
      <c r="T90" s="238">
        <f>'Elem Campus'!V15+'Middle Campus'!V15</f>
        <v>0</v>
      </c>
      <c r="U90" s="213"/>
      <c r="V90" s="230">
        <f t="shared" si="20"/>
        <v>34999.999999999993</v>
      </c>
    </row>
    <row r="91" spans="1:24" ht="15.75" customHeight="1">
      <c r="A91" s="128"/>
      <c r="B91" s="132" t="s">
        <v>209</v>
      </c>
      <c r="C91" s="208">
        <f>Athletics!C10</f>
        <v>20000</v>
      </c>
      <c r="D91" s="168">
        <f>Athletics!D10</f>
        <v>25594.2</v>
      </c>
      <c r="E91" s="168">
        <f>Athletics!E10</f>
        <v>8000</v>
      </c>
      <c r="F91" s="168">
        <f>Athletics!F10</f>
        <v>40000</v>
      </c>
      <c r="G91" s="210">
        <f t="shared" si="9"/>
        <v>20000</v>
      </c>
      <c r="H91" s="211"/>
      <c r="I91" s="212">
        <f>Athletics!K10</f>
        <v>500</v>
      </c>
      <c r="J91" s="212">
        <f>Athletics!L10</f>
        <v>10000</v>
      </c>
      <c r="K91" s="212">
        <f>Athletics!M10</f>
        <v>2600</v>
      </c>
      <c r="L91" s="212">
        <f>Athletics!N10</f>
        <v>5300</v>
      </c>
      <c r="M91" s="212">
        <f>Athletics!O10</f>
        <v>3000</v>
      </c>
      <c r="N91" s="212">
        <f>Athletics!P10</f>
        <v>3000</v>
      </c>
      <c r="O91" s="212">
        <f>Athletics!Q10</f>
        <v>5300</v>
      </c>
      <c r="P91" s="212">
        <f>Athletics!R10</f>
        <v>4800</v>
      </c>
      <c r="Q91" s="212">
        <f>Athletics!S10</f>
        <v>3000</v>
      </c>
      <c r="R91" s="212">
        <f>Athletics!T10</f>
        <v>500</v>
      </c>
      <c r="S91" s="212">
        <f>Athletics!U10</f>
        <v>2000</v>
      </c>
      <c r="T91" s="212">
        <f>Athletics!V10</f>
        <v>0</v>
      </c>
      <c r="U91" s="213"/>
      <c r="V91" s="230">
        <f t="shared" si="20"/>
        <v>40000</v>
      </c>
    </row>
    <row r="92" spans="1:24" ht="15.75" customHeight="1">
      <c r="A92" s="128"/>
      <c r="B92" s="207" t="s">
        <v>210</v>
      </c>
      <c r="C92" s="208">
        <f>MACAL!C10</f>
        <v>35000</v>
      </c>
      <c r="D92" s="168">
        <f>MACAL!D10</f>
        <v>64244.38</v>
      </c>
      <c r="E92" s="168">
        <f>MACAL!E10</f>
        <v>5000</v>
      </c>
      <c r="F92" s="168">
        <f>MACAL!F10+MACAL!F11</f>
        <v>63100</v>
      </c>
      <c r="G92" s="210">
        <f t="shared" si="9"/>
        <v>28100</v>
      </c>
      <c r="H92" s="211"/>
      <c r="I92" s="212">
        <f>MACAL!K10+MACAL!K11</f>
        <v>0</v>
      </c>
      <c r="J92" s="212">
        <f>MACAL!L10+MACAL!L11</f>
        <v>16500</v>
      </c>
      <c r="K92" s="212">
        <f>MACAL!M10+MACAL!M11</f>
        <v>7800</v>
      </c>
      <c r="L92" s="212">
        <f>MACAL!N10+MACAL!N11</f>
        <v>5000</v>
      </c>
      <c r="M92" s="212">
        <f>MACAL!O10+MACAL!O11</f>
        <v>19800</v>
      </c>
      <c r="N92" s="212">
        <f>MACAL!P10+MACAL!P11</f>
        <v>250</v>
      </c>
      <c r="O92" s="212">
        <f>MACAL!Q10+MACAL!Q11</f>
        <v>10750</v>
      </c>
      <c r="P92" s="212">
        <f>MACAL!R10+MACAL!R11</f>
        <v>2000</v>
      </c>
      <c r="Q92" s="212">
        <f>MACAL!S10+MACAL!S11</f>
        <v>1000</v>
      </c>
      <c r="R92" s="212">
        <f>MACAL!T10+MACAL!T11</f>
        <v>0</v>
      </c>
      <c r="S92" s="212">
        <f>MACAL!U10+MACAL!U11</f>
        <v>0</v>
      </c>
      <c r="T92" s="212">
        <f>MACAL!V10+MACAL!V11</f>
        <v>0</v>
      </c>
      <c r="U92" s="213"/>
      <c r="V92" s="230">
        <f t="shared" si="20"/>
        <v>63100</v>
      </c>
    </row>
    <row r="93" spans="1:24" ht="15.75" customHeight="1">
      <c r="A93" s="128"/>
      <c r="B93" s="132" t="s">
        <v>211</v>
      </c>
      <c r="C93" s="208">
        <f>PTCA!C11+'Middle Campus'!C16</f>
        <v>25900</v>
      </c>
      <c r="D93" s="168">
        <f>PTCA!D11+'Middle Campus'!D16</f>
        <v>15864.91</v>
      </c>
      <c r="E93" s="168">
        <f>PTCA!E11+'Middle Campus'!E16</f>
        <v>0</v>
      </c>
      <c r="F93" s="168">
        <f>PTCA!F11+'Middle Campus'!F16</f>
        <v>33000</v>
      </c>
      <c r="G93" s="210">
        <f t="shared" si="9"/>
        <v>7100</v>
      </c>
      <c r="H93" s="211"/>
      <c r="I93" s="212">
        <f>PTCA!K11+'Middle Campus'!K16</f>
        <v>0</v>
      </c>
      <c r="J93" s="212">
        <f>PTCA!L11+'Middle Campus'!L16</f>
        <v>3000</v>
      </c>
      <c r="K93" s="212">
        <f>PTCA!M11+'Middle Campus'!M16</f>
        <v>2000</v>
      </c>
      <c r="L93" s="212">
        <f>PTCA!N11+'Middle Campus'!N16</f>
        <v>3000</v>
      </c>
      <c r="M93" s="212">
        <f>PTCA!O11+'Middle Campus'!O16</f>
        <v>4000</v>
      </c>
      <c r="N93" s="212">
        <f>PTCA!P11+'Middle Campus'!P16</f>
        <v>1000</v>
      </c>
      <c r="O93" s="212">
        <f>PTCA!Q11+'Middle Campus'!Q16</f>
        <v>2000</v>
      </c>
      <c r="P93" s="212">
        <f>PTCA!R11+'Middle Campus'!R16</f>
        <v>3000</v>
      </c>
      <c r="Q93" s="212">
        <f>PTCA!S11+'Middle Campus'!S16</f>
        <v>2000</v>
      </c>
      <c r="R93" s="212">
        <f>PTCA!T11+'Middle Campus'!T16</f>
        <v>3000</v>
      </c>
      <c r="S93" s="212">
        <f>PTCA!U11+'Middle Campus'!U16</f>
        <v>10000</v>
      </c>
      <c r="T93" s="212">
        <f>PTCA!V11+'Middle Campus'!V16</f>
        <v>0</v>
      </c>
      <c r="U93" s="213"/>
      <c r="V93" s="230">
        <f t="shared" si="20"/>
        <v>33000</v>
      </c>
    </row>
    <row r="94" spans="1:24" ht="15.75" customHeight="1">
      <c r="A94" s="128"/>
      <c r="B94" s="232" t="s">
        <v>212</v>
      </c>
      <c r="C94" s="208">
        <f>PTCA!C12</f>
        <v>10800</v>
      </c>
      <c r="D94" s="168">
        <f>PTCA!D12</f>
        <v>6053.9</v>
      </c>
      <c r="E94" s="168">
        <f>PTCA!E12</f>
        <v>0</v>
      </c>
      <c r="F94" s="168">
        <f>PTCA!F12</f>
        <v>15000</v>
      </c>
      <c r="G94" s="210">
        <f t="shared" si="9"/>
        <v>4200</v>
      </c>
      <c r="H94" s="211"/>
      <c r="I94" s="212">
        <f>PTCA!K12</f>
        <v>0</v>
      </c>
      <c r="J94" s="212">
        <f>PTCA!L12</f>
        <v>500</v>
      </c>
      <c r="K94" s="212">
        <f>PTCA!M12</f>
        <v>5500</v>
      </c>
      <c r="L94" s="212">
        <f>PTCA!N12</f>
        <v>500</v>
      </c>
      <c r="M94" s="212">
        <f>PTCA!O12</f>
        <v>500</v>
      </c>
      <c r="N94" s="212">
        <f>PTCA!P12</f>
        <v>0</v>
      </c>
      <c r="O94" s="212">
        <f>PTCA!Q12</f>
        <v>500</v>
      </c>
      <c r="P94" s="212">
        <f>PTCA!R12</f>
        <v>5500</v>
      </c>
      <c r="Q94" s="212">
        <f>PTCA!S12</f>
        <v>500</v>
      </c>
      <c r="R94" s="212">
        <f>PTCA!T12</f>
        <v>500</v>
      </c>
      <c r="S94" s="212">
        <f>PTCA!U12</f>
        <v>1000</v>
      </c>
      <c r="T94" s="212">
        <f>PTCA!V12</f>
        <v>0</v>
      </c>
      <c r="U94" s="213"/>
      <c r="V94" s="230">
        <f t="shared" si="20"/>
        <v>15000</v>
      </c>
    </row>
    <row r="95" spans="1:24" ht="15.75" customHeight="1">
      <c r="A95" s="128"/>
      <c r="B95" s="185" t="s">
        <v>213</v>
      </c>
      <c r="C95" s="216">
        <f t="shared" ref="C95:F95" si="21">SUM(C96:C98)</f>
        <v>312000</v>
      </c>
      <c r="D95" s="239">
        <f t="shared" si="21"/>
        <v>163127.12999999998</v>
      </c>
      <c r="E95" s="239">
        <f t="shared" si="21"/>
        <v>156000</v>
      </c>
      <c r="F95" s="240">
        <f t="shared" si="21"/>
        <v>320000</v>
      </c>
      <c r="G95" s="224">
        <f t="shared" si="9"/>
        <v>8000</v>
      </c>
      <c r="H95" s="219"/>
      <c r="I95" s="225">
        <f t="shared" ref="I95:T95" si="22">SUM(I96:I98)</f>
        <v>6556</v>
      </c>
      <c r="J95" s="225">
        <f t="shared" si="22"/>
        <v>39111</v>
      </c>
      <c r="K95" s="225">
        <f t="shared" si="22"/>
        <v>33778</v>
      </c>
      <c r="L95" s="225">
        <f t="shared" si="22"/>
        <v>32000</v>
      </c>
      <c r="M95" s="225">
        <f t="shared" si="22"/>
        <v>26666</v>
      </c>
      <c r="N95" s="225">
        <f t="shared" si="22"/>
        <v>26666</v>
      </c>
      <c r="O95" s="225">
        <f t="shared" si="22"/>
        <v>32000</v>
      </c>
      <c r="P95" s="225">
        <f t="shared" si="22"/>
        <v>26666</v>
      </c>
      <c r="Q95" s="225">
        <f t="shared" si="22"/>
        <v>35556</v>
      </c>
      <c r="R95" s="225">
        <f t="shared" si="22"/>
        <v>30223</v>
      </c>
      <c r="S95" s="225">
        <f t="shared" si="22"/>
        <v>30223</v>
      </c>
      <c r="T95" s="225">
        <f t="shared" si="22"/>
        <v>555</v>
      </c>
      <c r="U95" s="213"/>
      <c r="V95" s="225">
        <f>SUM(V96:V98)</f>
        <v>320000</v>
      </c>
      <c r="W95" s="227"/>
      <c r="X95" s="227"/>
    </row>
    <row r="96" spans="1:24" ht="15.75" customHeight="1">
      <c r="A96" s="128"/>
      <c r="B96" s="207" t="s">
        <v>214</v>
      </c>
      <c r="C96" s="208">
        <f>'Nutrition Program'!C11</f>
        <v>250000</v>
      </c>
      <c r="D96" s="168">
        <f>'Nutrition Program'!D11</f>
        <v>132676.18999999997</v>
      </c>
      <c r="E96" s="168">
        <f>'Nutrition Program'!E11</f>
        <v>130000</v>
      </c>
      <c r="F96" s="168">
        <f>'Nutrition Program'!F11</f>
        <v>270000</v>
      </c>
      <c r="G96" s="210">
        <f t="shared" si="9"/>
        <v>20000</v>
      </c>
      <c r="H96" s="211"/>
      <c r="I96" s="212">
        <f>'Nutrition Program'!K11</f>
        <v>6001</v>
      </c>
      <c r="J96" s="212">
        <f>'Nutrition Program'!L11</f>
        <v>33000</v>
      </c>
      <c r="K96" s="212">
        <f>'Nutrition Program'!M11</f>
        <v>28500</v>
      </c>
      <c r="L96" s="212">
        <f>'Nutrition Program'!N11</f>
        <v>27000</v>
      </c>
      <c r="M96" s="212">
        <f>'Nutrition Program'!O11</f>
        <v>22499</v>
      </c>
      <c r="N96" s="212">
        <f>'Nutrition Program'!P11</f>
        <v>22499</v>
      </c>
      <c r="O96" s="212">
        <f>'Nutrition Program'!Q11</f>
        <v>27000</v>
      </c>
      <c r="P96" s="212">
        <f>'Nutrition Program'!R11</f>
        <v>22499</v>
      </c>
      <c r="Q96" s="212">
        <f>'Nutrition Program'!S11</f>
        <v>30000</v>
      </c>
      <c r="R96" s="212">
        <f>'Nutrition Program'!T11</f>
        <v>25501</v>
      </c>
      <c r="S96" s="212">
        <f>'Nutrition Program'!U11</f>
        <v>25501</v>
      </c>
      <c r="T96" s="212">
        <f>'Nutrition Program'!V11</f>
        <v>0</v>
      </c>
      <c r="U96" s="213"/>
      <c r="V96" s="214">
        <f t="shared" ref="V96:V98" si="23">SUM(I96:T96)</f>
        <v>270000</v>
      </c>
    </row>
    <row r="97" spans="1:24" ht="15.75" customHeight="1">
      <c r="A97" s="128"/>
      <c r="B97" s="207" t="s">
        <v>215</v>
      </c>
      <c r="C97" s="208">
        <f>'Nutrition Program'!C15</f>
        <v>20000</v>
      </c>
      <c r="D97" s="168">
        <f>'Nutrition Program'!D15</f>
        <v>4748.03</v>
      </c>
      <c r="E97" s="168">
        <f>'Nutrition Program'!E15</f>
        <v>3000</v>
      </c>
      <c r="F97" s="168">
        <f>'Nutrition Program'!F15</f>
        <v>0</v>
      </c>
      <c r="G97" s="210">
        <f t="shared" si="9"/>
        <v>-20000</v>
      </c>
      <c r="H97" s="211"/>
      <c r="I97" s="212">
        <f>'Nutrition Program'!K15</f>
        <v>0</v>
      </c>
      <c r="J97" s="212">
        <f>'Nutrition Program'!L15</f>
        <v>0</v>
      </c>
      <c r="K97" s="212">
        <f>'Nutrition Program'!M15</f>
        <v>0</v>
      </c>
      <c r="L97" s="212">
        <f>'Nutrition Program'!N15</f>
        <v>0</v>
      </c>
      <c r="M97" s="212">
        <f>'Nutrition Program'!O15</f>
        <v>0</v>
      </c>
      <c r="N97" s="212">
        <f>'Nutrition Program'!P15</f>
        <v>0</v>
      </c>
      <c r="O97" s="212">
        <f>'Nutrition Program'!Q15</f>
        <v>0</v>
      </c>
      <c r="P97" s="212">
        <f>'Nutrition Program'!R15</f>
        <v>0</v>
      </c>
      <c r="Q97" s="212">
        <f>'Nutrition Program'!S15</f>
        <v>0</v>
      </c>
      <c r="R97" s="212">
        <f>'Nutrition Program'!T15</f>
        <v>0</v>
      </c>
      <c r="S97" s="212">
        <f>'Nutrition Program'!U15</f>
        <v>0</v>
      </c>
      <c r="T97" s="212">
        <f>'Nutrition Program'!V15</f>
        <v>0</v>
      </c>
      <c r="U97" s="213"/>
      <c r="V97" s="214">
        <f t="shared" si="23"/>
        <v>0</v>
      </c>
    </row>
    <row r="98" spans="1:24" ht="15.75" customHeight="1">
      <c r="A98" s="128"/>
      <c r="B98" s="207" t="s">
        <v>216</v>
      </c>
      <c r="C98" s="208">
        <f>'Nutrition Program'!C16</f>
        <v>42000</v>
      </c>
      <c r="D98" s="168">
        <f>'Nutrition Program'!D16</f>
        <v>25702.909999999996</v>
      </c>
      <c r="E98" s="168">
        <f>'Nutrition Program'!E16</f>
        <v>23000</v>
      </c>
      <c r="F98" s="168">
        <f>'Nutrition Program'!F16</f>
        <v>50000</v>
      </c>
      <c r="G98" s="210">
        <f t="shared" si="9"/>
        <v>8000</v>
      </c>
      <c r="H98" s="211"/>
      <c r="I98" s="212">
        <f>'Nutrition Program'!K16</f>
        <v>555</v>
      </c>
      <c r="J98" s="212">
        <f>'Nutrition Program'!L16</f>
        <v>6111</v>
      </c>
      <c r="K98" s="212">
        <f>'Nutrition Program'!M16</f>
        <v>5278</v>
      </c>
      <c r="L98" s="212">
        <f>'Nutrition Program'!N16</f>
        <v>5000</v>
      </c>
      <c r="M98" s="212">
        <f>'Nutrition Program'!O16</f>
        <v>4167</v>
      </c>
      <c r="N98" s="212">
        <f>'Nutrition Program'!P16</f>
        <v>4167</v>
      </c>
      <c r="O98" s="212">
        <f>'Nutrition Program'!Q16</f>
        <v>5000</v>
      </c>
      <c r="P98" s="212">
        <f>'Nutrition Program'!R16</f>
        <v>4167</v>
      </c>
      <c r="Q98" s="212">
        <f>'Nutrition Program'!S16</f>
        <v>5556</v>
      </c>
      <c r="R98" s="212">
        <f>'Nutrition Program'!T16</f>
        <v>4722</v>
      </c>
      <c r="S98" s="212">
        <f>'Nutrition Program'!U16</f>
        <v>4722</v>
      </c>
      <c r="T98" s="212">
        <f>'Nutrition Program'!V16</f>
        <v>555</v>
      </c>
      <c r="U98" s="213"/>
      <c r="V98" s="214">
        <f t="shared" si="23"/>
        <v>50000</v>
      </c>
    </row>
    <row r="99" spans="1:24" ht="15.75" customHeight="1">
      <c r="A99" s="128"/>
      <c r="B99" s="185" t="s">
        <v>59</v>
      </c>
      <c r="C99" s="216">
        <f t="shared" ref="C99:E99" si="24">C100+C101+C102+C103+C104+C105+C111+C113+C126+C127+C110</f>
        <v>807226</v>
      </c>
      <c r="D99" s="240">
        <f t="shared" si="24"/>
        <v>463455.09999999992</v>
      </c>
      <c r="E99" s="240">
        <f t="shared" si="24"/>
        <v>386042.5</v>
      </c>
      <c r="F99" s="240">
        <f>F100+F101+F102+F103+F104+F105+F111+F113+F126+F127+F110+F112</f>
        <v>806756</v>
      </c>
      <c r="G99" s="224">
        <f t="shared" si="9"/>
        <v>-470</v>
      </c>
      <c r="H99" s="219"/>
      <c r="I99" s="225">
        <f t="shared" ref="I99:T99" si="25">I100+I101+I102+I103+I104+I105+I111+I113+I126+I127+I110</f>
        <v>185950.33333333334</v>
      </c>
      <c r="J99" s="225">
        <f t="shared" si="25"/>
        <v>45494.333333333343</v>
      </c>
      <c r="K99" s="225">
        <f t="shared" si="25"/>
        <v>47573.333333333343</v>
      </c>
      <c r="L99" s="225">
        <f t="shared" si="25"/>
        <v>69444.333333333343</v>
      </c>
      <c r="M99" s="225">
        <f t="shared" si="25"/>
        <v>47448.333333333343</v>
      </c>
      <c r="N99" s="225">
        <f t="shared" si="25"/>
        <v>66619.333333333343</v>
      </c>
      <c r="O99" s="225">
        <f t="shared" si="25"/>
        <v>63068.333333333343</v>
      </c>
      <c r="P99" s="225">
        <f t="shared" si="25"/>
        <v>48944.333333333343</v>
      </c>
      <c r="Q99" s="225">
        <f t="shared" si="25"/>
        <v>51101.333333333343</v>
      </c>
      <c r="R99" s="225">
        <f t="shared" si="25"/>
        <v>69144.333333333343</v>
      </c>
      <c r="S99" s="225">
        <f t="shared" si="25"/>
        <v>47448.333333333343</v>
      </c>
      <c r="T99" s="225">
        <f t="shared" si="25"/>
        <v>64519.333333333343</v>
      </c>
      <c r="U99" s="213"/>
      <c r="V99" s="225">
        <f>V100+V101+V102+V103+V104+V105+V111+V113+V126+V127+V110+V112</f>
        <v>806756</v>
      </c>
      <c r="W99" s="227"/>
      <c r="X99" s="227"/>
    </row>
    <row r="100" spans="1:24" ht="15.75" customHeight="1">
      <c r="A100" s="128"/>
      <c r="B100" s="207" t="s">
        <v>217</v>
      </c>
      <c r="C100" s="208">
        <f>'EC Facilities'!C10</f>
        <v>16500</v>
      </c>
      <c r="D100" s="168">
        <f>'EC Facilities'!D10</f>
        <v>8190</v>
      </c>
      <c r="E100" s="168">
        <f>'EC Facilities'!E10</f>
        <v>8370</v>
      </c>
      <c r="F100" s="168">
        <f>'EC Facilities'!F10</f>
        <v>18924</v>
      </c>
      <c r="G100" s="210">
        <f t="shared" si="9"/>
        <v>2424</v>
      </c>
      <c r="H100" s="211"/>
      <c r="I100" s="212">
        <f>'EC Facilities'!K10</f>
        <v>1577</v>
      </c>
      <c r="J100" s="212">
        <f>'EC Facilities'!L10</f>
        <v>1577</v>
      </c>
      <c r="K100" s="212">
        <f>'EC Facilities'!M10</f>
        <v>1577</v>
      </c>
      <c r="L100" s="212">
        <f>'EC Facilities'!N10</f>
        <v>1577</v>
      </c>
      <c r="M100" s="212">
        <f>'EC Facilities'!O10</f>
        <v>1577</v>
      </c>
      <c r="N100" s="212">
        <f>'EC Facilities'!P10</f>
        <v>1577</v>
      </c>
      <c r="O100" s="212">
        <f>'EC Facilities'!Q10</f>
        <v>1577</v>
      </c>
      <c r="P100" s="212">
        <f>'EC Facilities'!R10</f>
        <v>1577</v>
      </c>
      <c r="Q100" s="212">
        <f>'EC Facilities'!S10</f>
        <v>1577</v>
      </c>
      <c r="R100" s="212">
        <f>'EC Facilities'!T10</f>
        <v>1577</v>
      </c>
      <c r="S100" s="212">
        <f>'EC Facilities'!U10</f>
        <v>1577</v>
      </c>
      <c r="T100" s="212">
        <f>'EC Facilities'!V10</f>
        <v>1577</v>
      </c>
      <c r="U100" s="213"/>
      <c r="V100" s="214">
        <f t="shared" ref="V100:V104" si="26">SUM(I100:T100)</f>
        <v>18924</v>
      </c>
    </row>
    <row r="101" spans="1:24" ht="15.75" customHeight="1">
      <c r="A101" s="128"/>
      <c r="B101" s="207" t="s">
        <v>218</v>
      </c>
      <c r="C101" s="208">
        <f>'EC Facilities'!C11</f>
        <v>92000</v>
      </c>
      <c r="D101" s="168">
        <f>'EC Facilities'!D11</f>
        <v>46024.74</v>
      </c>
      <c r="E101" s="168">
        <f>'EC Facilities'!E11</f>
        <v>46200</v>
      </c>
      <c r="F101" s="168">
        <f>'EC Facilities'!F11</f>
        <v>92052</v>
      </c>
      <c r="G101" s="210">
        <f t="shared" si="9"/>
        <v>52</v>
      </c>
      <c r="H101" s="211"/>
      <c r="I101" s="212">
        <f>'EC Facilities'!K11</f>
        <v>7671</v>
      </c>
      <c r="J101" s="212">
        <f>'EC Facilities'!L11</f>
        <v>7671</v>
      </c>
      <c r="K101" s="212">
        <f>'EC Facilities'!M11</f>
        <v>7671</v>
      </c>
      <c r="L101" s="212">
        <f>'EC Facilities'!N11</f>
        <v>7671</v>
      </c>
      <c r="M101" s="212">
        <f>'EC Facilities'!O11</f>
        <v>7671</v>
      </c>
      <c r="N101" s="212">
        <f>'EC Facilities'!P11</f>
        <v>7671</v>
      </c>
      <c r="O101" s="212">
        <f>'EC Facilities'!Q11</f>
        <v>7671</v>
      </c>
      <c r="P101" s="212">
        <f>'EC Facilities'!R11</f>
        <v>7671</v>
      </c>
      <c r="Q101" s="212">
        <f>'EC Facilities'!S11</f>
        <v>7671</v>
      </c>
      <c r="R101" s="212">
        <f>'EC Facilities'!T11</f>
        <v>7671</v>
      </c>
      <c r="S101" s="212">
        <f>'EC Facilities'!U11</f>
        <v>7671</v>
      </c>
      <c r="T101" s="212">
        <f>'EC Facilities'!V11</f>
        <v>7671</v>
      </c>
      <c r="U101" s="213"/>
      <c r="V101" s="214">
        <f t="shared" si="26"/>
        <v>92052</v>
      </c>
    </row>
    <row r="102" spans="1:24" ht="15.75" customHeight="1">
      <c r="A102" s="128"/>
      <c r="B102" s="207" t="s">
        <v>219</v>
      </c>
      <c r="C102" s="208">
        <f>'EC Facilities'!C12</f>
        <v>11500</v>
      </c>
      <c r="D102" s="168">
        <f>'EC Facilities'!D12</f>
        <v>2793.5</v>
      </c>
      <c r="E102" s="168">
        <f>'EC Facilities'!E12</f>
        <v>2443.5</v>
      </c>
      <c r="F102" s="168">
        <f>'EC Facilities'!F12</f>
        <v>4884</v>
      </c>
      <c r="G102" s="210">
        <f t="shared" si="9"/>
        <v>-6616</v>
      </c>
      <c r="H102" s="211"/>
      <c r="I102" s="212">
        <f>'EC Facilities'!K12</f>
        <v>814</v>
      </c>
      <c r="J102" s="212">
        <f>'EC Facilities'!L12</f>
        <v>0</v>
      </c>
      <c r="K102" s="212">
        <f>'EC Facilities'!M12</f>
        <v>814</v>
      </c>
      <c r="L102" s="212">
        <f>'EC Facilities'!N12</f>
        <v>0</v>
      </c>
      <c r="M102" s="212">
        <f>'EC Facilities'!O12</f>
        <v>814</v>
      </c>
      <c r="N102" s="212">
        <f>'EC Facilities'!P12</f>
        <v>0</v>
      </c>
      <c r="O102" s="212">
        <f>'EC Facilities'!Q12</f>
        <v>814</v>
      </c>
      <c r="P102" s="212">
        <f>'EC Facilities'!R12</f>
        <v>0</v>
      </c>
      <c r="Q102" s="212">
        <f>'EC Facilities'!S12</f>
        <v>814</v>
      </c>
      <c r="R102" s="212">
        <f>'EC Facilities'!T12</f>
        <v>0</v>
      </c>
      <c r="S102" s="212">
        <f>'EC Facilities'!U12</f>
        <v>814</v>
      </c>
      <c r="T102" s="212">
        <f>'EC Facilities'!V12</f>
        <v>0</v>
      </c>
      <c r="U102" s="213"/>
      <c r="V102" s="214">
        <f t="shared" si="26"/>
        <v>4884</v>
      </c>
    </row>
    <row r="103" spans="1:24" ht="15.75" customHeight="1">
      <c r="A103" s="128"/>
      <c r="B103" s="207" t="s">
        <v>220</v>
      </c>
      <c r="C103" s="208">
        <f>'EC Facilities'!C13</f>
        <v>25000</v>
      </c>
      <c r="D103" s="168">
        <f>'EC Facilities'!D13</f>
        <v>11776.51</v>
      </c>
      <c r="E103" s="168">
        <f>'EC Facilities'!E13</f>
        <v>12000</v>
      </c>
      <c r="F103" s="168">
        <f>'EC Facilities'!F13</f>
        <v>25000</v>
      </c>
      <c r="G103" s="210">
        <f t="shared" si="9"/>
        <v>0</v>
      </c>
      <c r="H103" s="211"/>
      <c r="I103" s="212">
        <f>'EC Facilities'!K13</f>
        <v>2083.3333333333335</v>
      </c>
      <c r="J103" s="212">
        <f>'EC Facilities'!L13</f>
        <v>2083.3333333333335</v>
      </c>
      <c r="K103" s="212">
        <f>'EC Facilities'!M13</f>
        <v>2083.3333333333335</v>
      </c>
      <c r="L103" s="212">
        <f>'EC Facilities'!N13</f>
        <v>2083.3333333333335</v>
      </c>
      <c r="M103" s="212">
        <f>'EC Facilities'!O13</f>
        <v>2083.3333333333335</v>
      </c>
      <c r="N103" s="212">
        <f>'EC Facilities'!P13</f>
        <v>2083.3333333333335</v>
      </c>
      <c r="O103" s="212">
        <f>'EC Facilities'!Q13</f>
        <v>2083.3333333333335</v>
      </c>
      <c r="P103" s="212">
        <f>'EC Facilities'!R13</f>
        <v>2083.3333333333335</v>
      </c>
      <c r="Q103" s="212">
        <f>'EC Facilities'!S13</f>
        <v>2083.3333333333335</v>
      </c>
      <c r="R103" s="212">
        <f>'EC Facilities'!T13</f>
        <v>2083.3333333333335</v>
      </c>
      <c r="S103" s="212">
        <f>'EC Facilities'!U13</f>
        <v>2083.3333333333335</v>
      </c>
      <c r="T103" s="212">
        <f>'EC Facilities'!V13</f>
        <v>2083.3333333333335</v>
      </c>
      <c r="U103" s="213"/>
      <c r="V103" s="214">
        <f t="shared" si="26"/>
        <v>24999.999999999996</v>
      </c>
    </row>
    <row r="104" spans="1:24" ht="15.75" customHeight="1">
      <c r="A104" s="128"/>
      <c r="B104" s="207" t="s">
        <v>221</v>
      </c>
      <c r="C104" s="208">
        <f>'EC Facilities'!C14</f>
        <v>125000</v>
      </c>
      <c r="D104" s="168">
        <f>'EC Facilities'!D14</f>
        <v>86200</v>
      </c>
      <c r="E104" s="168">
        <f>'EC Facilities'!E14</f>
        <v>85260</v>
      </c>
      <c r="F104" s="168">
        <f>'EC Facilities'!F14</f>
        <v>130000</v>
      </c>
      <c r="G104" s="210">
        <f t="shared" si="9"/>
        <v>5000</v>
      </c>
      <c r="H104" s="211"/>
      <c r="I104" s="212">
        <f>'EC Facilities'!K14</f>
        <v>10833.333333333334</v>
      </c>
      <c r="J104" s="212">
        <f>'EC Facilities'!L14</f>
        <v>10833.333333333334</v>
      </c>
      <c r="K104" s="212">
        <f>'EC Facilities'!M14</f>
        <v>10833.333333333334</v>
      </c>
      <c r="L104" s="212">
        <f>'EC Facilities'!N14</f>
        <v>10833.333333333334</v>
      </c>
      <c r="M104" s="212">
        <f>'EC Facilities'!O14</f>
        <v>10833.333333333334</v>
      </c>
      <c r="N104" s="212">
        <f>'EC Facilities'!P14</f>
        <v>10833.333333333334</v>
      </c>
      <c r="O104" s="212">
        <f>'EC Facilities'!Q14</f>
        <v>10833.333333333334</v>
      </c>
      <c r="P104" s="212">
        <f>'EC Facilities'!R14</f>
        <v>10833.333333333334</v>
      </c>
      <c r="Q104" s="212">
        <f>'EC Facilities'!S14</f>
        <v>10833.333333333334</v>
      </c>
      <c r="R104" s="212">
        <f>'EC Facilities'!T14</f>
        <v>10833.333333333334</v>
      </c>
      <c r="S104" s="212">
        <f>'EC Facilities'!U14</f>
        <v>10833.333333333334</v>
      </c>
      <c r="T104" s="212">
        <f>'EC Facilities'!V14</f>
        <v>10833.333333333334</v>
      </c>
      <c r="U104" s="213"/>
      <c r="V104" s="214">
        <f t="shared" si="26"/>
        <v>129999.99999999999</v>
      </c>
    </row>
    <row r="105" spans="1:24" ht="15.75" customHeight="1">
      <c r="A105" s="128"/>
      <c r="B105" s="207" t="s">
        <v>222</v>
      </c>
      <c r="C105" s="208">
        <f t="shared" ref="C105:F105" si="27">SUM(C106:C109)</f>
        <v>141226</v>
      </c>
      <c r="D105" s="241">
        <f t="shared" si="27"/>
        <v>88855.690000000017</v>
      </c>
      <c r="E105" s="241">
        <f t="shared" si="27"/>
        <v>91640</v>
      </c>
      <c r="F105" s="241">
        <f t="shared" si="27"/>
        <v>185556</v>
      </c>
      <c r="G105" s="218">
        <f t="shared" si="9"/>
        <v>44330</v>
      </c>
      <c r="H105" s="211"/>
      <c r="I105" s="242">
        <f t="shared" ref="I105:T105" si="28">SUM(I106:I109)</f>
        <v>19563</v>
      </c>
      <c r="J105" s="242">
        <f t="shared" si="28"/>
        <v>14963</v>
      </c>
      <c r="K105" s="242">
        <f t="shared" si="28"/>
        <v>14963</v>
      </c>
      <c r="L105" s="242">
        <f t="shared" si="28"/>
        <v>14963</v>
      </c>
      <c r="M105" s="242">
        <f t="shared" si="28"/>
        <v>14963</v>
      </c>
      <c r="N105" s="242">
        <f t="shared" si="28"/>
        <v>14963</v>
      </c>
      <c r="O105" s="242">
        <f t="shared" si="28"/>
        <v>16363</v>
      </c>
      <c r="P105" s="242">
        <f t="shared" si="28"/>
        <v>14963</v>
      </c>
      <c r="Q105" s="242">
        <f t="shared" si="28"/>
        <v>14963</v>
      </c>
      <c r="R105" s="242">
        <f t="shared" si="28"/>
        <v>14963</v>
      </c>
      <c r="S105" s="242">
        <f t="shared" si="28"/>
        <v>14963</v>
      </c>
      <c r="T105" s="242">
        <f t="shared" si="28"/>
        <v>14963</v>
      </c>
      <c r="U105" s="213"/>
      <c r="V105" s="242">
        <f>SUM(V106:V109)</f>
        <v>185556</v>
      </c>
    </row>
    <row r="106" spans="1:24" ht="15.75" customHeight="1">
      <c r="A106" s="128"/>
      <c r="B106" s="207" t="s">
        <v>223</v>
      </c>
      <c r="C106" s="208">
        <f>'EC Facilities'!C16</f>
        <v>111426</v>
      </c>
      <c r="D106" s="168">
        <f>'EC Facilities'!D16</f>
        <v>69151.070000000007</v>
      </c>
      <c r="E106" s="168">
        <f>'EC Facilities'!E16</f>
        <v>74000</v>
      </c>
      <c r="F106" s="168">
        <f>'EC Facilities'!F16</f>
        <v>144996</v>
      </c>
      <c r="G106" s="210">
        <f t="shared" si="9"/>
        <v>33570</v>
      </c>
      <c r="H106" s="211"/>
      <c r="I106" s="212">
        <f>'EC Facilities'!K16</f>
        <v>12083</v>
      </c>
      <c r="J106" s="212">
        <f>'EC Facilities'!L16</f>
        <v>12083</v>
      </c>
      <c r="K106" s="212">
        <f>'EC Facilities'!M16</f>
        <v>12083</v>
      </c>
      <c r="L106" s="212">
        <f>'EC Facilities'!N16</f>
        <v>12083</v>
      </c>
      <c r="M106" s="212">
        <f>'EC Facilities'!O16</f>
        <v>12083</v>
      </c>
      <c r="N106" s="212">
        <f>'EC Facilities'!P16</f>
        <v>12083</v>
      </c>
      <c r="O106" s="212">
        <f>'EC Facilities'!Q16</f>
        <v>12083</v>
      </c>
      <c r="P106" s="212">
        <f>'EC Facilities'!R16</f>
        <v>12083</v>
      </c>
      <c r="Q106" s="212">
        <f>'EC Facilities'!S16</f>
        <v>12083</v>
      </c>
      <c r="R106" s="212">
        <f>'EC Facilities'!T16</f>
        <v>12083</v>
      </c>
      <c r="S106" s="212">
        <f>'EC Facilities'!U16</f>
        <v>12083</v>
      </c>
      <c r="T106" s="212">
        <f>'EC Facilities'!V16</f>
        <v>12083</v>
      </c>
      <c r="U106" s="213"/>
      <c r="V106" s="214">
        <f t="shared" ref="V106:V112" si="29">SUM(I106:T106)</f>
        <v>144996</v>
      </c>
    </row>
    <row r="107" spans="1:24" ht="15.75" customHeight="1">
      <c r="A107" s="128"/>
      <c r="B107" s="129" t="s">
        <v>224</v>
      </c>
      <c r="C107" s="208">
        <f>'EC Facilities'!C17</f>
        <v>10800</v>
      </c>
      <c r="D107" s="168">
        <f>'EC Facilities'!D17</f>
        <v>3815.2400000000002</v>
      </c>
      <c r="E107" s="168">
        <f>'EC Facilities'!E17</f>
        <v>1200</v>
      </c>
      <c r="F107" s="168">
        <f>'EC Facilities'!F17</f>
        <v>6000</v>
      </c>
      <c r="G107" s="210">
        <f t="shared" si="9"/>
        <v>-4800</v>
      </c>
      <c r="H107" s="211"/>
      <c r="I107" s="212">
        <f>'EC Facilities'!K17</f>
        <v>4600</v>
      </c>
      <c r="J107" s="212">
        <f>'EC Facilities'!L17</f>
        <v>0</v>
      </c>
      <c r="K107" s="212">
        <f>'EC Facilities'!M17</f>
        <v>0</v>
      </c>
      <c r="L107" s="212">
        <f>'EC Facilities'!N17</f>
        <v>0</v>
      </c>
      <c r="M107" s="212">
        <f>'EC Facilities'!O17</f>
        <v>0</v>
      </c>
      <c r="N107" s="212">
        <f>'EC Facilities'!P17</f>
        <v>0</v>
      </c>
      <c r="O107" s="212">
        <f>'EC Facilities'!Q17</f>
        <v>1400</v>
      </c>
      <c r="P107" s="212">
        <f>'EC Facilities'!R17</f>
        <v>0</v>
      </c>
      <c r="Q107" s="212">
        <f>'EC Facilities'!S17</f>
        <v>0</v>
      </c>
      <c r="R107" s="212">
        <f>'EC Facilities'!T17</f>
        <v>0</v>
      </c>
      <c r="S107" s="212">
        <f>'EC Facilities'!U17</f>
        <v>0</v>
      </c>
      <c r="T107" s="212">
        <f>'EC Facilities'!V17</f>
        <v>0</v>
      </c>
      <c r="U107" s="213"/>
      <c r="V107" s="214">
        <f t="shared" si="29"/>
        <v>6000</v>
      </c>
    </row>
    <row r="108" spans="1:24" ht="15.75" customHeight="1">
      <c r="A108" s="128"/>
      <c r="B108" s="207" t="s">
        <v>225</v>
      </c>
      <c r="C108" s="208">
        <f>'EC Facilities'!C18</f>
        <v>9000</v>
      </c>
      <c r="D108" s="168">
        <f>'EC Facilities'!D18</f>
        <v>4500</v>
      </c>
      <c r="E108" s="168">
        <f>'EC Facilities'!E18</f>
        <v>4500</v>
      </c>
      <c r="F108" s="168">
        <f>'EC Facilities'!F18</f>
        <v>9000</v>
      </c>
      <c r="G108" s="210">
        <f t="shared" si="9"/>
        <v>0</v>
      </c>
      <c r="H108" s="211"/>
      <c r="I108" s="212">
        <f>'EC Facilities'!K18</f>
        <v>750</v>
      </c>
      <c r="J108" s="212">
        <f>'EC Facilities'!L18</f>
        <v>750</v>
      </c>
      <c r="K108" s="212">
        <f>'EC Facilities'!M18</f>
        <v>750</v>
      </c>
      <c r="L108" s="212">
        <f>'EC Facilities'!N18</f>
        <v>750</v>
      </c>
      <c r="M108" s="212">
        <f>'EC Facilities'!O18</f>
        <v>750</v>
      </c>
      <c r="N108" s="212">
        <f>'EC Facilities'!P18</f>
        <v>750</v>
      </c>
      <c r="O108" s="212">
        <f>'EC Facilities'!Q18</f>
        <v>750</v>
      </c>
      <c r="P108" s="212">
        <f>'EC Facilities'!R18</f>
        <v>750</v>
      </c>
      <c r="Q108" s="212">
        <f>'EC Facilities'!S18</f>
        <v>750</v>
      </c>
      <c r="R108" s="212">
        <f>'EC Facilities'!T18</f>
        <v>750</v>
      </c>
      <c r="S108" s="212">
        <f>'EC Facilities'!U18</f>
        <v>750</v>
      </c>
      <c r="T108" s="212">
        <f>'EC Facilities'!V18</f>
        <v>750</v>
      </c>
      <c r="U108" s="213"/>
      <c r="V108" s="214">
        <f t="shared" si="29"/>
        <v>9000</v>
      </c>
    </row>
    <row r="109" spans="1:24" ht="15.75" customHeight="1">
      <c r="A109" s="128"/>
      <c r="B109" s="207" t="s">
        <v>226</v>
      </c>
      <c r="C109" s="208">
        <f>'EC Facilities'!C19</f>
        <v>10000</v>
      </c>
      <c r="D109" s="168">
        <f>'EC Facilities'!D19</f>
        <v>11389.380000000001</v>
      </c>
      <c r="E109" s="168">
        <f>'EC Facilities'!E19</f>
        <v>11940</v>
      </c>
      <c r="F109" s="168">
        <f>'EC Facilities'!F19</f>
        <v>25560</v>
      </c>
      <c r="G109" s="210">
        <f t="shared" si="9"/>
        <v>15560</v>
      </c>
      <c r="H109" s="211"/>
      <c r="I109" s="212">
        <f>'EC Facilities'!K19</f>
        <v>2130</v>
      </c>
      <c r="J109" s="212">
        <f>'EC Facilities'!L19</f>
        <v>2130</v>
      </c>
      <c r="K109" s="212">
        <f>'EC Facilities'!M19</f>
        <v>2130</v>
      </c>
      <c r="L109" s="212">
        <f>'EC Facilities'!N19</f>
        <v>2130</v>
      </c>
      <c r="M109" s="212">
        <f>'EC Facilities'!O19</f>
        <v>2130</v>
      </c>
      <c r="N109" s="212">
        <f>'EC Facilities'!P19</f>
        <v>2130</v>
      </c>
      <c r="O109" s="212">
        <f>'EC Facilities'!Q19</f>
        <v>2130</v>
      </c>
      <c r="P109" s="212">
        <f>'EC Facilities'!R19</f>
        <v>2130</v>
      </c>
      <c r="Q109" s="212">
        <f>'EC Facilities'!S19</f>
        <v>2130</v>
      </c>
      <c r="R109" s="212">
        <f>'EC Facilities'!T19</f>
        <v>2130</v>
      </c>
      <c r="S109" s="212">
        <f>'EC Facilities'!U19</f>
        <v>2130</v>
      </c>
      <c r="T109" s="212">
        <f>'EC Facilities'!V19</f>
        <v>2130</v>
      </c>
      <c r="U109" s="213"/>
      <c r="V109" s="214">
        <f t="shared" si="29"/>
        <v>25560</v>
      </c>
    </row>
    <row r="110" spans="1:24" ht="15.75" customHeight="1">
      <c r="A110" s="128"/>
      <c r="B110" s="207" t="s">
        <v>227</v>
      </c>
      <c r="C110" s="208">
        <f>'EC Facilities'!C20</f>
        <v>0</v>
      </c>
      <c r="D110" s="168">
        <f>'EC Facilities'!D20</f>
        <v>4624.51</v>
      </c>
      <c r="E110" s="168">
        <f>'EC Facilities'!E20</f>
        <v>0</v>
      </c>
      <c r="F110" s="168">
        <f>'EC Facilities'!F20</f>
        <v>5000</v>
      </c>
      <c r="G110" s="210">
        <f t="shared" si="9"/>
        <v>5000</v>
      </c>
      <c r="H110" s="211"/>
      <c r="I110" s="212">
        <f>'EC Facilities'!K20</f>
        <v>5000</v>
      </c>
      <c r="J110" s="212">
        <f>'EC Facilities'!L20</f>
        <v>0</v>
      </c>
      <c r="K110" s="212">
        <f>'EC Facilities'!M20</f>
        <v>0</v>
      </c>
      <c r="L110" s="212">
        <f>'EC Facilities'!N20</f>
        <v>0</v>
      </c>
      <c r="M110" s="212">
        <f>'EC Facilities'!O20</f>
        <v>0</v>
      </c>
      <c r="N110" s="212">
        <f>'EC Facilities'!P20</f>
        <v>0</v>
      </c>
      <c r="O110" s="212">
        <f>'EC Facilities'!Q20</f>
        <v>0</v>
      </c>
      <c r="P110" s="212">
        <f>'EC Facilities'!R20</f>
        <v>0</v>
      </c>
      <c r="Q110" s="212">
        <f>'EC Facilities'!S20</f>
        <v>0</v>
      </c>
      <c r="R110" s="212">
        <f>'EC Facilities'!T20</f>
        <v>0</v>
      </c>
      <c r="S110" s="212">
        <f>'EC Facilities'!U20</f>
        <v>0</v>
      </c>
      <c r="T110" s="212">
        <f>'EC Facilities'!V20</f>
        <v>0</v>
      </c>
      <c r="U110" s="213"/>
      <c r="V110" s="214">
        <f t="shared" si="29"/>
        <v>5000</v>
      </c>
    </row>
    <row r="111" spans="1:24" ht="15.75" customHeight="1">
      <c r="A111" s="128"/>
      <c r="B111" s="207" t="s">
        <v>228</v>
      </c>
      <c r="C111" s="208">
        <f>'EC Facilities'!C21+' MC Facilities'!C10</f>
        <v>26000</v>
      </c>
      <c r="D111" s="168">
        <f>'EC Facilities'!D21+' MC Facilities'!D10</f>
        <v>22433.350000000002</v>
      </c>
      <c r="E111" s="168">
        <f>'EC Facilities'!E21+' MC Facilities'!E10</f>
        <v>8495</v>
      </c>
      <c r="F111" s="168">
        <f>'EC Facilities'!F21+' MC Facilities'!F10</f>
        <v>40400</v>
      </c>
      <c r="G111" s="210">
        <f t="shared" si="9"/>
        <v>14400</v>
      </c>
      <c r="H111" s="211"/>
      <c r="I111" s="212">
        <f>'EC Facilities'!K21+' MC Facilities'!K10</f>
        <v>7533.3333333333339</v>
      </c>
      <c r="J111" s="212">
        <f>'EC Facilities'!L21+' MC Facilities'!L10</f>
        <v>2533.3333333333335</v>
      </c>
      <c r="K111" s="212">
        <f>'EC Facilities'!M21+' MC Facilities'!M10</f>
        <v>2533.3333333333335</v>
      </c>
      <c r="L111" s="212">
        <f>'EC Facilities'!N21+' MC Facilities'!N10</f>
        <v>2533.3333333333335</v>
      </c>
      <c r="M111" s="212">
        <f>'EC Facilities'!O21+' MC Facilities'!O10</f>
        <v>2533.3333333333335</v>
      </c>
      <c r="N111" s="212">
        <f>'EC Facilities'!P21+' MC Facilities'!P10</f>
        <v>7533.3333333333339</v>
      </c>
      <c r="O111" s="212">
        <f>'EC Facilities'!Q21+' MC Facilities'!Q10</f>
        <v>2533.3333333333335</v>
      </c>
      <c r="P111" s="212">
        <f>'EC Facilities'!R21+' MC Facilities'!R10</f>
        <v>2533.3333333333335</v>
      </c>
      <c r="Q111" s="212">
        <f>'EC Facilities'!S21+' MC Facilities'!S10</f>
        <v>2533.3333333333335</v>
      </c>
      <c r="R111" s="212">
        <f>'EC Facilities'!T21+' MC Facilities'!T10</f>
        <v>2533.3333333333335</v>
      </c>
      <c r="S111" s="212">
        <f>'EC Facilities'!U21+' MC Facilities'!U10</f>
        <v>2533.3333333333335</v>
      </c>
      <c r="T111" s="212">
        <f>'EC Facilities'!V21+' MC Facilities'!V10</f>
        <v>2533.3333333333335</v>
      </c>
      <c r="U111" s="213"/>
      <c r="V111" s="214">
        <f t="shared" si="29"/>
        <v>40400.000000000007</v>
      </c>
    </row>
    <row r="112" spans="1:24" ht="26.25" customHeight="1">
      <c r="A112" s="185"/>
      <c r="B112" s="243" t="s">
        <v>229</v>
      </c>
      <c r="C112" s="208">
        <f>'EC Facilities'!C22</f>
        <v>0</v>
      </c>
      <c r="D112" s="168">
        <f>'EC Facilities'!D22</f>
        <v>130349</v>
      </c>
      <c r="E112" s="168">
        <f>'EC Facilities'!E22</f>
        <v>0</v>
      </c>
      <c r="F112" s="168">
        <f>'EC Facilities'!F22</f>
        <v>0</v>
      </c>
      <c r="G112" s="210">
        <f t="shared" si="9"/>
        <v>0</v>
      </c>
      <c r="H112" s="211"/>
      <c r="I112" s="212">
        <v>0</v>
      </c>
      <c r="J112" s="212">
        <f>'EC Facilities'!L22</f>
        <v>0</v>
      </c>
      <c r="K112" s="212">
        <f>'EC Facilities'!M22</f>
        <v>0</v>
      </c>
      <c r="L112" s="212">
        <f>'EC Facilities'!N22</f>
        <v>0</v>
      </c>
      <c r="M112" s="212">
        <f>'EC Facilities'!O22</f>
        <v>0</v>
      </c>
      <c r="N112" s="212">
        <f>'EC Facilities'!P22</f>
        <v>0</v>
      </c>
      <c r="O112" s="212">
        <f>'EC Facilities'!Q22</f>
        <v>0</v>
      </c>
      <c r="P112" s="212">
        <f>'EC Facilities'!R22</f>
        <v>0</v>
      </c>
      <c r="Q112" s="212">
        <f>'EC Facilities'!S22</f>
        <v>0</v>
      </c>
      <c r="R112" s="212">
        <f>'EC Facilities'!T22</f>
        <v>0</v>
      </c>
      <c r="S112" s="212">
        <f>'EC Facilities'!U22</f>
        <v>0</v>
      </c>
      <c r="T112" s="212">
        <f>'EC Facilities'!V22</f>
        <v>0</v>
      </c>
      <c r="U112" s="192"/>
      <c r="V112" s="214">
        <f t="shared" si="29"/>
        <v>0</v>
      </c>
    </row>
    <row r="113" spans="1:24" ht="15.75" customHeight="1">
      <c r="A113" s="128"/>
      <c r="B113" s="207" t="s">
        <v>230</v>
      </c>
      <c r="C113" s="208">
        <f t="shared" ref="C113:F113" si="30">SUM(C114:C125)</f>
        <v>358000</v>
      </c>
      <c r="D113" s="241">
        <f t="shared" si="30"/>
        <v>186156.23999999996</v>
      </c>
      <c r="E113" s="241">
        <f t="shared" si="30"/>
        <v>127134</v>
      </c>
      <c r="F113" s="241">
        <f t="shared" si="30"/>
        <v>290940</v>
      </c>
      <c r="G113" s="218">
        <f t="shared" si="9"/>
        <v>-67060</v>
      </c>
      <c r="H113" s="211"/>
      <c r="I113" s="242">
        <f t="shared" ref="I113:T113" si="31">SUM(I114:I125)</f>
        <v>128975.33333333333</v>
      </c>
      <c r="J113" s="242">
        <f t="shared" si="31"/>
        <v>4833.3333333333339</v>
      </c>
      <c r="K113" s="242">
        <f t="shared" si="31"/>
        <v>6198.3333333333339</v>
      </c>
      <c r="L113" s="242">
        <f t="shared" si="31"/>
        <v>28583.333333333336</v>
      </c>
      <c r="M113" s="242">
        <f t="shared" si="31"/>
        <v>6073.3333333333339</v>
      </c>
      <c r="N113" s="242">
        <f t="shared" si="31"/>
        <v>20958.333333333336</v>
      </c>
      <c r="O113" s="242">
        <f t="shared" si="31"/>
        <v>19193.333333333336</v>
      </c>
      <c r="P113" s="242">
        <f t="shared" si="31"/>
        <v>8083.3333333333339</v>
      </c>
      <c r="Q113" s="242">
        <f t="shared" si="31"/>
        <v>9426.3333333333339</v>
      </c>
      <c r="R113" s="242">
        <f t="shared" si="31"/>
        <v>28583.333333333336</v>
      </c>
      <c r="S113" s="242">
        <f t="shared" si="31"/>
        <v>6073.3333333333339</v>
      </c>
      <c r="T113" s="242">
        <f t="shared" si="31"/>
        <v>23958.333333333336</v>
      </c>
      <c r="U113" s="213"/>
      <c r="V113" s="244">
        <f>SUM(V114:V125)</f>
        <v>290940</v>
      </c>
    </row>
    <row r="114" spans="1:24" ht="15.75" customHeight="1">
      <c r="A114" s="128"/>
      <c r="B114" s="207" t="s">
        <v>231</v>
      </c>
      <c r="C114" s="208">
        <f>'EC Facilities'!C24+' MC Facilities'!C12</f>
        <v>110000</v>
      </c>
      <c r="D114" s="168">
        <f>'EC Facilities'!D24+' MC Facilities'!D12</f>
        <v>102837.3</v>
      </c>
      <c r="E114" s="168">
        <f>'EC Facilities'!E24+' MC Facilities'!E12</f>
        <v>15000</v>
      </c>
      <c r="F114" s="168">
        <f>'EC Facilities'!F24+' MC Facilities'!F12</f>
        <v>129000</v>
      </c>
      <c r="G114" s="210">
        <f t="shared" si="9"/>
        <v>19000</v>
      </c>
      <c r="H114" s="211"/>
      <c r="I114" s="245">
        <f>'EC Facilities'!K24+' MC Facilities'!K12</f>
        <v>95000</v>
      </c>
      <c r="J114" s="245">
        <f>'EC Facilities'!L24+' MC Facilities'!L12</f>
        <v>0</v>
      </c>
      <c r="K114" s="245">
        <f>'EC Facilities'!M24+' MC Facilities'!M12</f>
        <v>0</v>
      </c>
      <c r="L114" s="245">
        <f>'EC Facilities'!N24+' MC Facilities'!N12</f>
        <v>8000</v>
      </c>
      <c r="M114" s="245">
        <f>'EC Facilities'!O24+' MC Facilities'!O12</f>
        <v>0</v>
      </c>
      <c r="N114" s="245">
        <f>'EC Facilities'!P24+' MC Facilities'!P12</f>
        <v>8000</v>
      </c>
      <c r="O114" s="245">
        <f>'EC Facilities'!Q24+' MC Facilities'!Q12</f>
        <v>0</v>
      </c>
      <c r="P114" s="245">
        <f>'EC Facilities'!R24+' MC Facilities'!R12</f>
        <v>0</v>
      </c>
      <c r="Q114" s="245">
        <f>'EC Facilities'!S24+' MC Facilities'!S12</f>
        <v>0</v>
      </c>
      <c r="R114" s="245">
        <f>'EC Facilities'!T24+' MC Facilities'!T12</f>
        <v>8000</v>
      </c>
      <c r="S114" s="245">
        <f>'EC Facilities'!U24+' MC Facilities'!U12</f>
        <v>0</v>
      </c>
      <c r="T114" s="209">
        <f>'EC Facilities'!V24+' MC Facilities'!V12</f>
        <v>10000</v>
      </c>
      <c r="U114" s="213"/>
      <c r="V114" s="214">
        <f t="shared" ref="V114:V127" si="32">SUM(I114:T114)</f>
        <v>129000</v>
      </c>
    </row>
    <row r="115" spans="1:24" ht="15.75" customHeight="1">
      <c r="A115" s="128"/>
      <c r="B115" s="207" t="s">
        <v>232</v>
      </c>
      <c r="C115" s="166">
        <f>'EC Facilities'!C25+' MC Facilities'!C13</f>
        <v>2500</v>
      </c>
      <c r="D115" s="168">
        <f>'EC Facilities'!D25+' MC Facilities'!D13</f>
        <v>5445.88</v>
      </c>
      <c r="E115" s="168">
        <f>'EC Facilities'!E25+' MC Facilities'!E13</f>
        <v>250</v>
      </c>
      <c r="F115" s="168">
        <f>'EC Facilities'!F25+' MC Facilities'!F13</f>
        <v>500</v>
      </c>
      <c r="G115" s="210">
        <f t="shared" si="9"/>
        <v>-2000</v>
      </c>
      <c r="H115" s="211"/>
      <c r="I115" s="246">
        <f>'EC Facilities'!K25+' MC Facilities'!K13</f>
        <v>0</v>
      </c>
      <c r="J115" s="246">
        <f>'EC Facilities'!L25+' MC Facilities'!L13</f>
        <v>0</v>
      </c>
      <c r="K115" s="246">
        <f>'EC Facilities'!M25+' MC Facilities'!M13</f>
        <v>125</v>
      </c>
      <c r="L115" s="246">
        <f>'EC Facilities'!N25+' MC Facilities'!N13</f>
        <v>0</v>
      </c>
      <c r="M115" s="246">
        <f>'EC Facilities'!O25+' MC Facilities'!O13</f>
        <v>0</v>
      </c>
      <c r="N115" s="246">
        <f>'EC Facilities'!P25+' MC Facilities'!P13</f>
        <v>125</v>
      </c>
      <c r="O115" s="246">
        <f>'EC Facilities'!Q25+' MC Facilities'!Q13</f>
        <v>0</v>
      </c>
      <c r="P115" s="246">
        <f>'EC Facilities'!R25+' MC Facilities'!R13</f>
        <v>0</v>
      </c>
      <c r="Q115" s="246">
        <f>'EC Facilities'!S25+' MC Facilities'!S13</f>
        <v>125</v>
      </c>
      <c r="R115" s="246">
        <f>'EC Facilities'!T25+' MC Facilities'!T13</f>
        <v>0</v>
      </c>
      <c r="S115" s="246">
        <f>'EC Facilities'!U25+' MC Facilities'!U13</f>
        <v>0</v>
      </c>
      <c r="T115" s="168">
        <f>'EC Facilities'!V25+' MC Facilities'!V13</f>
        <v>125</v>
      </c>
      <c r="U115" s="213"/>
      <c r="V115" s="214">
        <f t="shared" si="32"/>
        <v>500</v>
      </c>
    </row>
    <row r="116" spans="1:24" ht="15.75" customHeight="1">
      <c r="A116" s="128"/>
      <c r="B116" s="207" t="s">
        <v>233</v>
      </c>
      <c r="C116" s="208">
        <f>'EC Facilities'!C26</f>
        <v>8000</v>
      </c>
      <c r="D116" s="168">
        <f>'EC Facilities'!D26</f>
        <v>10053.36</v>
      </c>
      <c r="E116" s="168">
        <f>'EC Facilities'!E26</f>
        <v>3084</v>
      </c>
      <c r="F116" s="168">
        <f>'EC Facilities'!F26</f>
        <v>7440</v>
      </c>
      <c r="G116" s="210">
        <f t="shared" si="9"/>
        <v>-560</v>
      </c>
      <c r="H116" s="211"/>
      <c r="I116" s="246">
        <f>'EC Facilities'!K26</f>
        <v>1240</v>
      </c>
      <c r="J116" s="246">
        <f>'EC Facilities'!L26</f>
        <v>0</v>
      </c>
      <c r="K116" s="246">
        <f>'EC Facilities'!M26</f>
        <v>1240</v>
      </c>
      <c r="L116" s="246">
        <f>'EC Facilities'!N26</f>
        <v>0</v>
      </c>
      <c r="M116" s="246">
        <f>'EC Facilities'!O26</f>
        <v>1240</v>
      </c>
      <c r="N116" s="246">
        <f>'EC Facilities'!P26</f>
        <v>0</v>
      </c>
      <c r="O116" s="246">
        <f>'EC Facilities'!Q26</f>
        <v>1240</v>
      </c>
      <c r="P116" s="246">
        <f>'EC Facilities'!R26</f>
        <v>0</v>
      </c>
      <c r="Q116" s="246">
        <f>'EC Facilities'!S26</f>
        <v>1240</v>
      </c>
      <c r="R116" s="246">
        <f>'EC Facilities'!T26</f>
        <v>0</v>
      </c>
      <c r="S116" s="246">
        <f>'EC Facilities'!U26</f>
        <v>1240</v>
      </c>
      <c r="T116" s="168">
        <f>'EC Facilities'!V26</f>
        <v>0</v>
      </c>
      <c r="U116" s="213"/>
      <c r="V116" s="214">
        <f t="shared" si="32"/>
        <v>7440</v>
      </c>
    </row>
    <row r="117" spans="1:24" ht="15.75" customHeight="1">
      <c r="A117" s="128"/>
      <c r="B117" s="207" t="s">
        <v>234</v>
      </c>
      <c r="C117" s="208">
        <f>'EC Facilities'!C27+' MC Facilities'!C15</f>
        <v>20000</v>
      </c>
      <c r="D117" s="168">
        <f>'EC Facilities'!D27+' MC Facilities'!D15</f>
        <v>1769.83</v>
      </c>
      <c r="E117" s="168">
        <f>'EC Facilities'!E27+' MC Facilities'!E15</f>
        <v>3000</v>
      </c>
      <c r="F117" s="168">
        <f>'EC Facilities'!F27+' MC Facilities'!F15</f>
        <v>16000</v>
      </c>
      <c r="G117" s="210">
        <f t="shared" si="9"/>
        <v>-4000</v>
      </c>
      <c r="H117" s="211"/>
      <c r="I117" s="246">
        <f>'EC Facilities'!K27+' MC Facilities'!K15</f>
        <v>1333.3333333333335</v>
      </c>
      <c r="J117" s="246">
        <f>'EC Facilities'!L27+' MC Facilities'!L15</f>
        <v>1333.3333333333335</v>
      </c>
      <c r="K117" s="246">
        <f>'EC Facilities'!M27+' MC Facilities'!M15</f>
        <v>1333.3333333333335</v>
      </c>
      <c r="L117" s="246">
        <f>'EC Facilities'!N27+' MC Facilities'!N15</f>
        <v>1333.3333333333335</v>
      </c>
      <c r="M117" s="246">
        <f>'EC Facilities'!O27+' MC Facilities'!O15</f>
        <v>1333.3333333333335</v>
      </c>
      <c r="N117" s="246">
        <f>'EC Facilities'!P27+' MC Facilities'!P15</f>
        <v>1333.3333333333335</v>
      </c>
      <c r="O117" s="246">
        <f>'EC Facilities'!Q27+' MC Facilities'!Q15</f>
        <v>1333.3333333333335</v>
      </c>
      <c r="P117" s="246">
        <f>'EC Facilities'!R27+' MC Facilities'!R15</f>
        <v>1333.3333333333335</v>
      </c>
      <c r="Q117" s="246">
        <f>'EC Facilities'!S27+' MC Facilities'!S15</f>
        <v>1333.3333333333335</v>
      </c>
      <c r="R117" s="246">
        <f>'EC Facilities'!T27+' MC Facilities'!T15</f>
        <v>1333.3333333333335</v>
      </c>
      <c r="S117" s="246">
        <f>'EC Facilities'!U27+' MC Facilities'!U15</f>
        <v>1333.3333333333335</v>
      </c>
      <c r="T117" s="168">
        <f>'EC Facilities'!V27+' MC Facilities'!V15</f>
        <v>1333.3333333333335</v>
      </c>
      <c r="U117" s="213"/>
      <c r="V117" s="214">
        <f t="shared" si="32"/>
        <v>16000.000000000005</v>
      </c>
    </row>
    <row r="118" spans="1:24" ht="15.75" customHeight="1">
      <c r="A118" s="128"/>
      <c r="B118" s="207" t="s">
        <v>235</v>
      </c>
      <c r="C118" s="208">
        <f>' MC Facilities'!C16</f>
        <v>0</v>
      </c>
      <c r="D118" s="168">
        <f>' MC Facilities'!D16</f>
        <v>0</v>
      </c>
      <c r="E118" s="168">
        <f>' MC Facilities'!E16</f>
        <v>0</v>
      </c>
      <c r="F118" s="168">
        <f>' MC Facilities'!F16</f>
        <v>0</v>
      </c>
      <c r="G118" s="210">
        <f t="shared" si="9"/>
        <v>0</v>
      </c>
      <c r="H118" s="211"/>
      <c r="I118" s="246">
        <f>' MC Facilities'!K16</f>
        <v>0</v>
      </c>
      <c r="J118" s="246">
        <f>' MC Facilities'!L16</f>
        <v>0</v>
      </c>
      <c r="K118" s="246">
        <f>' MC Facilities'!M16</f>
        <v>0</v>
      </c>
      <c r="L118" s="246">
        <f>' MC Facilities'!N16</f>
        <v>0</v>
      </c>
      <c r="M118" s="246">
        <f>' MC Facilities'!O16</f>
        <v>0</v>
      </c>
      <c r="N118" s="246">
        <f>' MC Facilities'!P16</f>
        <v>0</v>
      </c>
      <c r="O118" s="246">
        <f>' MC Facilities'!Q16</f>
        <v>0</v>
      </c>
      <c r="P118" s="246">
        <f>' MC Facilities'!R16</f>
        <v>0</v>
      </c>
      <c r="Q118" s="246">
        <f>' MC Facilities'!S16</f>
        <v>0</v>
      </c>
      <c r="R118" s="246">
        <f>' MC Facilities'!T16</f>
        <v>0</v>
      </c>
      <c r="S118" s="246">
        <f>' MC Facilities'!U16</f>
        <v>0</v>
      </c>
      <c r="T118" s="168">
        <f>' MC Facilities'!V16</f>
        <v>0</v>
      </c>
      <c r="U118" s="213"/>
      <c r="V118" s="214">
        <f t="shared" si="32"/>
        <v>0</v>
      </c>
    </row>
    <row r="119" spans="1:24" ht="15.75" customHeight="1">
      <c r="A119" s="128"/>
      <c r="B119" s="207" t="s">
        <v>236</v>
      </c>
      <c r="C119" s="208">
        <f>'EC Facilities'!C28+' MC Facilities'!C17</f>
        <v>20000</v>
      </c>
      <c r="D119" s="168">
        <f>'EC Facilities'!D28+' MC Facilities'!D17</f>
        <v>933.79</v>
      </c>
      <c r="E119" s="168">
        <f>'EC Facilities'!E28+' MC Facilities'!E17</f>
        <v>5000</v>
      </c>
      <c r="F119" s="168">
        <f>'EC Facilities'!F28+' MC Facilities'!F17</f>
        <v>30000</v>
      </c>
      <c r="G119" s="210">
        <f t="shared" si="9"/>
        <v>10000</v>
      </c>
      <c r="H119" s="211"/>
      <c r="I119" s="246">
        <f>'EC Facilities'!K28+' MC Facilities'!K17</f>
        <v>4833.333333333333</v>
      </c>
      <c r="J119" s="246">
        <f>'EC Facilities'!L28+' MC Facilities'!L17</f>
        <v>833.33333333333337</v>
      </c>
      <c r="K119" s="246">
        <f>'EC Facilities'!M28+' MC Facilities'!M17</f>
        <v>833.33333333333337</v>
      </c>
      <c r="L119" s="246">
        <f>'EC Facilities'!N28+' MC Facilities'!N17</f>
        <v>3833.3333333333335</v>
      </c>
      <c r="M119" s="246">
        <f>'EC Facilities'!O28+' MC Facilities'!O17</f>
        <v>833.33333333333337</v>
      </c>
      <c r="N119" s="246">
        <f>'EC Facilities'!P28+' MC Facilities'!P17</f>
        <v>3833.3333333333335</v>
      </c>
      <c r="O119" s="246">
        <f>'EC Facilities'!Q28+' MC Facilities'!Q17</f>
        <v>833.33333333333337</v>
      </c>
      <c r="P119" s="246">
        <f>'EC Facilities'!R28+' MC Facilities'!R17</f>
        <v>3833.3333333333335</v>
      </c>
      <c r="Q119" s="246">
        <f>'EC Facilities'!S28+' MC Facilities'!S17</f>
        <v>833.33333333333337</v>
      </c>
      <c r="R119" s="246">
        <f>'EC Facilities'!T28+' MC Facilities'!T17</f>
        <v>3833.3333333333335</v>
      </c>
      <c r="S119" s="246">
        <f>'EC Facilities'!U28+' MC Facilities'!U17</f>
        <v>833.33333333333337</v>
      </c>
      <c r="T119" s="168">
        <f>'EC Facilities'!V28+' MC Facilities'!V17</f>
        <v>4833.333333333333</v>
      </c>
      <c r="U119" s="213"/>
      <c r="V119" s="214">
        <f t="shared" si="32"/>
        <v>29999.999999999996</v>
      </c>
    </row>
    <row r="120" spans="1:24" ht="15.75" customHeight="1">
      <c r="A120" s="128"/>
      <c r="B120" s="207" t="s">
        <v>237</v>
      </c>
      <c r="C120" s="208">
        <f>'EC Facilities'!C29+' MC Facilities'!C18</f>
        <v>155000</v>
      </c>
      <c r="D120" s="168">
        <f>'EC Facilities'!D29+' MC Facilities'!D18</f>
        <v>41566.329999999994</v>
      </c>
      <c r="E120" s="168">
        <f>'EC Facilities'!E29+' MC Facilities'!E18</f>
        <v>55000</v>
      </c>
      <c r="F120" s="168">
        <f>'EC Facilities'!F29+' MC Facilities'!F18</f>
        <v>65000</v>
      </c>
      <c r="G120" s="210">
        <f t="shared" si="9"/>
        <v>-90000</v>
      </c>
      <c r="H120" s="211"/>
      <c r="I120" s="246">
        <f>'EC Facilities'!K29+' MC Facilities'!K18</f>
        <v>17500</v>
      </c>
      <c r="J120" s="246">
        <f>'EC Facilities'!L29+' MC Facilities'!L18</f>
        <v>0</v>
      </c>
      <c r="K120" s="246">
        <f>'EC Facilities'!M29+' MC Facilities'!M18</f>
        <v>0</v>
      </c>
      <c r="L120" s="246">
        <f>'EC Facilities'!N29+' MC Facilities'!N18</f>
        <v>12500</v>
      </c>
      <c r="M120" s="246">
        <f>'EC Facilities'!O29+' MC Facilities'!O18</f>
        <v>0</v>
      </c>
      <c r="N120" s="246">
        <f>'EC Facilities'!P29+' MC Facilities'!P18</f>
        <v>5000</v>
      </c>
      <c r="O120" s="246">
        <f>'EC Facilities'!Q29+' MC Facilities'!Q18</f>
        <v>12500</v>
      </c>
      <c r="P120" s="246">
        <f>'EC Facilities'!R29+' MC Facilities'!R18</f>
        <v>0</v>
      </c>
      <c r="Q120" s="246">
        <f>'EC Facilities'!S29+' MC Facilities'!S18</f>
        <v>0</v>
      </c>
      <c r="R120" s="246">
        <f>'EC Facilities'!T29+' MC Facilities'!T18</f>
        <v>12500</v>
      </c>
      <c r="S120" s="246">
        <f>'EC Facilities'!U29+' MC Facilities'!U18</f>
        <v>0</v>
      </c>
      <c r="T120" s="168">
        <f>'EC Facilities'!V29+' MC Facilities'!V18</f>
        <v>5000</v>
      </c>
      <c r="U120" s="213"/>
      <c r="V120" s="214">
        <f t="shared" si="32"/>
        <v>65000</v>
      </c>
    </row>
    <row r="121" spans="1:24" ht="15.75" customHeight="1">
      <c r="A121" s="128"/>
      <c r="B121" s="207" t="s">
        <v>238</v>
      </c>
      <c r="C121" s="166">
        <f>'EC Facilities'!C30</f>
        <v>30000</v>
      </c>
      <c r="D121" s="168">
        <f>'EC Facilities'!D30</f>
        <v>40</v>
      </c>
      <c r="E121" s="168">
        <f>'EC Facilities'!E30</f>
        <v>0</v>
      </c>
      <c r="F121" s="168">
        <f>'EC Facilities'!F30</f>
        <v>0</v>
      </c>
      <c r="G121" s="210">
        <f t="shared" si="9"/>
        <v>-30000</v>
      </c>
      <c r="H121" s="211"/>
      <c r="I121" s="246">
        <f>'EC Facilities'!K30</f>
        <v>0</v>
      </c>
      <c r="J121" s="246">
        <f>'EC Facilities'!L30</f>
        <v>0</v>
      </c>
      <c r="K121" s="246">
        <f>'EC Facilities'!M30</f>
        <v>0</v>
      </c>
      <c r="L121" s="246">
        <f>'EC Facilities'!N30</f>
        <v>0</v>
      </c>
      <c r="M121" s="246">
        <f>'EC Facilities'!O30</f>
        <v>0</v>
      </c>
      <c r="N121" s="246">
        <f>'EC Facilities'!P30</f>
        <v>0</v>
      </c>
      <c r="O121" s="246">
        <f>'EC Facilities'!Q30</f>
        <v>0</v>
      </c>
      <c r="P121" s="246">
        <f>'EC Facilities'!R30</f>
        <v>0</v>
      </c>
      <c r="Q121" s="246">
        <f>'EC Facilities'!S30</f>
        <v>0</v>
      </c>
      <c r="R121" s="246">
        <f>'EC Facilities'!T30</f>
        <v>0</v>
      </c>
      <c r="S121" s="246">
        <f>'EC Facilities'!U30</f>
        <v>0</v>
      </c>
      <c r="T121" s="168">
        <f>'EC Facilities'!V30</f>
        <v>0</v>
      </c>
      <c r="U121" s="213"/>
      <c r="V121" s="214">
        <f t="shared" si="32"/>
        <v>0</v>
      </c>
    </row>
    <row r="122" spans="1:24" ht="15.75" customHeight="1">
      <c r="A122" s="128"/>
      <c r="B122" s="207" t="s">
        <v>239</v>
      </c>
      <c r="C122" s="208">
        <f>'EC Facilities'!C31</f>
        <v>0</v>
      </c>
      <c r="D122" s="168">
        <f>'EC Facilities'!D31</f>
        <v>314.86</v>
      </c>
      <c r="E122" s="168">
        <f>'EC Facilities'!E31</f>
        <v>0</v>
      </c>
      <c r="F122" s="168">
        <f>'EC Facilities'!F31</f>
        <v>0</v>
      </c>
      <c r="G122" s="210">
        <f t="shared" si="9"/>
        <v>0</v>
      </c>
      <c r="H122" s="211"/>
      <c r="I122" s="246">
        <f>'EC Facilities'!K31</f>
        <v>0</v>
      </c>
      <c r="J122" s="246">
        <f>'EC Facilities'!L31</f>
        <v>0</v>
      </c>
      <c r="K122" s="246">
        <f>'EC Facilities'!M31</f>
        <v>0</v>
      </c>
      <c r="L122" s="246">
        <f>'EC Facilities'!N31</f>
        <v>0</v>
      </c>
      <c r="M122" s="246">
        <f>'EC Facilities'!O31</f>
        <v>0</v>
      </c>
      <c r="N122" s="246">
        <f>'EC Facilities'!P31</f>
        <v>0</v>
      </c>
      <c r="O122" s="246">
        <f>'EC Facilities'!Q31</f>
        <v>0</v>
      </c>
      <c r="P122" s="246">
        <f>'EC Facilities'!R31</f>
        <v>0</v>
      </c>
      <c r="Q122" s="246">
        <f>'EC Facilities'!S31</f>
        <v>0</v>
      </c>
      <c r="R122" s="246">
        <f>'EC Facilities'!T31</f>
        <v>0</v>
      </c>
      <c r="S122" s="246">
        <f>'EC Facilities'!U31</f>
        <v>0</v>
      </c>
      <c r="T122" s="168">
        <f>'EC Facilities'!V31</f>
        <v>0</v>
      </c>
      <c r="U122" s="213"/>
      <c r="V122" s="214">
        <f t="shared" si="32"/>
        <v>0</v>
      </c>
    </row>
    <row r="123" spans="1:24" ht="15.75" customHeight="1">
      <c r="A123" s="128"/>
      <c r="B123" s="207" t="s">
        <v>240</v>
      </c>
      <c r="C123" s="208">
        <f>'EC Facilities'!C33+' MC Facilities'!C19</f>
        <v>12500</v>
      </c>
      <c r="D123" s="168">
        <f>'EC Facilities'!D33+' MC Facilities'!D19</f>
        <v>20457.71</v>
      </c>
      <c r="E123" s="168">
        <f>'EC Facilities'!E33+' MC Facilities'!E19</f>
        <v>45000</v>
      </c>
      <c r="F123" s="168">
        <f>'EC Facilities'!F33+' MC Facilities'!F19</f>
        <v>32000</v>
      </c>
      <c r="G123" s="210">
        <f t="shared" si="9"/>
        <v>19500</v>
      </c>
      <c r="H123" s="211"/>
      <c r="I123" s="246">
        <f>'EC Facilities'!K33+' MC Facilities'!K19</f>
        <v>2666.666666666667</v>
      </c>
      <c r="J123" s="246">
        <f>'EC Facilities'!L33+' MC Facilities'!L19</f>
        <v>2666.666666666667</v>
      </c>
      <c r="K123" s="246">
        <f>'EC Facilities'!M33+' MC Facilities'!M19</f>
        <v>2666.666666666667</v>
      </c>
      <c r="L123" s="246">
        <f>'EC Facilities'!N33+' MC Facilities'!N19</f>
        <v>2666.666666666667</v>
      </c>
      <c r="M123" s="246">
        <f>'EC Facilities'!O33+' MC Facilities'!O19</f>
        <v>2666.666666666667</v>
      </c>
      <c r="N123" s="246">
        <f>'EC Facilities'!P33+' MC Facilities'!P19</f>
        <v>2666.666666666667</v>
      </c>
      <c r="O123" s="246">
        <f>'EC Facilities'!Q33+' MC Facilities'!Q19</f>
        <v>2666.666666666667</v>
      </c>
      <c r="P123" s="246">
        <f>'EC Facilities'!R33+' MC Facilities'!R19</f>
        <v>2666.666666666667</v>
      </c>
      <c r="Q123" s="246">
        <f>'EC Facilities'!S33+' MC Facilities'!S19</f>
        <v>2666.666666666667</v>
      </c>
      <c r="R123" s="246">
        <f>'EC Facilities'!T33+' MC Facilities'!T19</f>
        <v>2666.666666666667</v>
      </c>
      <c r="S123" s="246">
        <f>'EC Facilities'!U33+' MC Facilities'!U19</f>
        <v>2666.666666666667</v>
      </c>
      <c r="T123" s="168">
        <f>'EC Facilities'!V33+' MC Facilities'!V19</f>
        <v>2666.666666666667</v>
      </c>
      <c r="U123" s="213"/>
      <c r="V123" s="214">
        <f t="shared" si="32"/>
        <v>32000.000000000011</v>
      </c>
    </row>
    <row r="124" spans="1:24" ht="15.75" customHeight="1">
      <c r="A124" s="128"/>
      <c r="B124" s="207" t="s">
        <v>241</v>
      </c>
      <c r="C124" s="208">
        <f>'EC Facilities'!C32</f>
        <v>0</v>
      </c>
      <c r="D124" s="168">
        <f>'EC Facilities'!D32</f>
        <v>2450.0700000000002</v>
      </c>
      <c r="E124" s="168">
        <f>'EC Facilities'!E32</f>
        <v>500</v>
      </c>
      <c r="F124" s="168">
        <f>'EC Facilities'!F32</f>
        <v>10000</v>
      </c>
      <c r="G124" s="210">
        <f t="shared" si="9"/>
        <v>10000</v>
      </c>
      <c r="H124" s="211"/>
      <c r="I124" s="246">
        <f>'EC Facilities'!K32</f>
        <v>6152</v>
      </c>
      <c r="J124" s="246">
        <f>'EC Facilities'!L32</f>
        <v>0</v>
      </c>
      <c r="K124" s="246">
        <f>'EC Facilities'!M32</f>
        <v>0</v>
      </c>
      <c r="L124" s="246">
        <f>'EC Facilities'!N32</f>
        <v>0</v>
      </c>
      <c r="M124" s="246">
        <f>'EC Facilities'!O32</f>
        <v>0</v>
      </c>
      <c r="N124" s="246">
        <f>'EC Facilities'!P32</f>
        <v>0</v>
      </c>
      <c r="O124" s="246">
        <f>'EC Facilities'!Q32</f>
        <v>620</v>
      </c>
      <c r="P124" s="246">
        <f>'EC Facilities'!R32</f>
        <v>0</v>
      </c>
      <c r="Q124" s="246">
        <f>'EC Facilities'!S32</f>
        <v>3228</v>
      </c>
      <c r="R124" s="246">
        <f>'EC Facilities'!T32</f>
        <v>0</v>
      </c>
      <c r="S124" s="246">
        <f>'EC Facilities'!U32</f>
        <v>0</v>
      </c>
      <c r="T124" s="168">
        <f>'EC Facilities'!V32</f>
        <v>0</v>
      </c>
      <c r="U124" s="213"/>
      <c r="V124" s="214">
        <f t="shared" si="32"/>
        <v>10000</v>
      </c>
    </row>
    <row r="125" spans="1:24" ht="15.75" customHeight="1">
      <c r="A125" s="128"/>
      <c r="B125" s="207" t="s">
        <v>242</v>
      </c>
      <c r="C125" s="208">
        <f>' MC Facilities'!C20</f>
        <v>0</v>
      </c>
      <c r="D125" s="168">
        <f>' MC Facilities'!D20</f>
        <v>287.11</v>
      </c>
      <c r="E125" s="168">
        <f>' MC Facilities'!E20</f>
        <v>300</v>
      </c>
      <c r="F125" s="168">
        <f>' MC Facilities'!F20</f>
        <v>1000</v>
      </c>
      <c r="G125" s="210">
        <f t="shared" si="9"/>
        <v>1000</v>
      </c>
      <c r="H125" s="211"/>
      <c r="I125" s="246">
        <f>' MC Facilities'!K20</f>
        <v>250</v>
      </c>
      <c r="J125" s="246">
        <f>' MC Facilities'!L20</f>
        <v>0</v>
      </c>
      <c r="K125" s="246">
        <f>' MC Facilities'!M20</f>
        <v>0</v>
      </c>
      <c r="L125" s="246">
        <f>' MC Facilities'!N20</f>
        <v>250</v>
      </c>
      <c r="M125" s="246">
        <f>' MC Facilities'!O20</f>
        <v>0</v>
      </c>
      <c r="N125" s="246">
        <f>' MC Facilities'!P20</f>
        <v>0</v>
      </c>
      <c r="O125" s="246">
        <f>' MC Facilities'!Q20</f>
        <v>0</v>
      </c>
      <c r="P125" s="246">
        <f>' MC Facilities'!R20</f>
        <v>250</v>
      </c>
      <c r="Q125" s="246">
        <f>' MC Facilities'!S20</f>
        <v>0</v>
      </c>
      <c r="R125" s="246">
        <f>' MC Facilities'!T20</f>
        <v>250</v>
      </c>
      <c r="S125" s="246">
        <f>' MC Facilities'!U20</f>
        <v>0</v>
      </c>
      <c r="T125" s="168">
        <f>' MC Facilities'!V20</f>
        <v>0</v>
      </c>
      <c r="U125" s="213"/>
      <c r="V125" s="214">
        <f t="shared" si="32"/>
        <v>1000</v>
      </c>
    </row>
    <row r="126" spans="1:24" ht="15.75" customHeight="1">
      <c r="A126" s="128"/>
      <c r="B126" s="207" t="s">
        <v>243</v>
      </c>
      <c r="C126" s="208">
        <f>Farm!C9</f>
        <v>10000</v>
      </c>
      <c r="D126" s="168">
        <f>Farm!D9</f>
        <v>6400.5599999999995</v>
      </c>
      <c r="E126" s="168">
        <f>Farm!E9</f>
        <v>2500</v>
      </c>
      <c r="F126" s="168">
        <f>Farm!F9</f>
        <v>12000</v>
      </c>
      <c r="G126" s="210">
        <f t="shared" si="9"/>
        <v>2000</v>
      </c>
      <c r="H126" s="211"/>
      <c r="I126" s="246">
        <f>Farm!K9</f>
        <v>900</v>
      </c>
      <c r="J126" s="246">
        <f>Farm!L9</f>
        <v>1000</v>
      </c>
      <c r="K126" s="246">
        <f>Farm!M9</f>
        <v>900</v>
      </c>
      <c r="L126" s="246">
        <f>Farm!N9</f>
        <v>1200</v>
      </c>
      <c r="M126" s="246">
        <f>Farm!O9</f>
        <v>900</v>
      </c>
      <c r="N126" s="246">
        <f>Farm!P9</f>
        <v>1000</v>
      </c>
      <c r="O126" s="246">
        <f>Farm!Q9</f>
        <v>1000</v>
      </c>
      <c r="P126" s="246">
        <f>Farm!R9</f>
        <v>1200</v>
      </c>
      <c r="Q126" s="246">
        <f>Farm!S9</f>
        <v>1200</v>
      </c>
      <c r="R126" s="246">
        <f>Farm!T9</f>
        <v>900</v>
      </c>
      <c r="S126" s="246">
        <f>Farm!U9</f>
        <v>900</v>
      </c>
      <c r="T126" s="168">
        <f>Farm!V9</f>
        <v>900</v>
      </c>
      <c r="U126" s="213"/>
      <c r="V126" s="214">
        <f t="shared" si="32"/>
        <v>12000</v>
      </c>
    </row>
    <row r="127" spans="1:24" ht="15.75" customHeight="1">
      <c r="A127" s="128"/>
      <c r="B127" s="207" t="s">
        <v>244</v>
      </c>
      <c r="C127" s="166">
        <f>Farm!C11</f>
        <v>2000</v>
      </c>
      <c r="D127" s="168">
        <f>Farm!D11</f>
        <v>0</v>
      </c>
      <c r="E127" s="168">
        <f>Farm!E11</f>
        <v>2000</v>
      </c>
      <c r="F127" s="168">
        <f>Farm!F11</f>
        <v>2000</v>
      </c>
      <c r="G127" s="210">
        <f t="shared" si="9"/>
        <v>0</v>
      </c>
      <c r="H127" s="211"/>
      <c r="I127" s="246">
        <f>Farm!K11</f>
        <v>1000</v>
      </c>
      <c r="J127" s="246">
        <f>Farm!L11</f>
        <v>0</v>
      </c>
      <c r="K127" s="246">
        <f>Farm!M11</f>
        <v>0</v>
      </c>
      <c r="L127" s="246">
        <f>Farm!N11</f>
        <v>0</v>
      </c>
      <c r="M127" s="246">
        <f>Farm!O11</f>
        <v>0</v>
      </c>
      <c r="N127" s="246">
        <f>Farm!P11</f>
        <v>0</v>
      </c>
      <c r="O127" s="246">
        <f>Farm!Q11</f>
        <v>1000</v>
      </c>
      <c r="P127" s="246">
        <f>Farm!R11</f>
        <v>0</v>
      </c>
      <c r="Q127" s="246">
        <f>Farm!S11</f>
        <v>0</v>
      </c>
      <c r="R127" s="246">
        <f>Farm!T11</f>
        <v>0</v>
      </c>
      <c r="S127" s="246">
        <f>Farm!U11</f>
        <v>0</v>
      </c>
      <c r="T127" s="168">
        <f>Farm!V11</f>
        <v>0</v>
      </c>
      <c r="U127" s="213"/>
      <c r="V127" s="214">
        <f t="shared" si="32"/>
        <v>2000</v>
      </c>
    </row>
    <row r="128" spans="1:24" ht="15.75" customHeight="1">
      <c r="A128" s="128"/>
      <c r="B128" s="185" t="s">
        <v>245</v>
      </c>
      <c r="C128" s="216">
        <f t="shared" ref="C128:F128" si="33">SUM(C129:C133)</f>
        <v>53000</v>
      </c>
      <c r="D128" s="239">
        <f t="shared" si="33"/>
        <v>118196.63</v>
      </c>
      <c r="E128" s="239">
        <f t="shared" si="33"/>
        <v>12249</v>
      </c>
      <c r="F128" s="240">
        <f t="shared" si="33"/>
        <v>93000</v>
      </c>
      <c r="G128" s="224">
        <f t="shared" si="9"/>
        <v>40000</v>
      </c>
      <c r="H128" s="219"/>
      <c r="I128" s="225">
        <f t="shared" ref="I128:T128" si="34">SUM(I129:I133)</f>
        <v>2000.0003636363635</v>
      </c>
      <c r="J128" s="225">
        <f t="shared" si="34"/>
        <v>2500.0003636363635</v>
      </c>
      <c r="K128" s="225">
        <f t="shared" si="34"/>
        <v>7500.0003636363635</v>
      </c>
      <c r="L128" s="225">
        <f t="shared" si="34"/>
        <v>26000.000363636362</v>
      </c>
      <c r="M128" s="225">
        <f t="shared" si="34"/>
        <v>7000.0003636363635</v>
      </c>
      <c r="N128" s="225">
        <f t="shared" si="34"/>
        <v>7000.0003636363635</v>
      </c>
      <c r="O128" s="225">
        <f t="shared" si="34"/>
        <v>7000.0003636363635</v>
      </c>
      <c r="P128" s="225">
        <f t="shared" si="34"/>
        <v>7000.0003636363635</v>
      </c>
      <c r="Q128" s="225">
        <f t="shared" si="34"/>
        <v>2000.0003636363635</v>
      </c>
      <c r="R128" s="225">
        <f t="shared" si="34"/>
        <v>21000.000363636362</v>
      </c>
      <c r="S128" s="225">
        <f t="shared" si="34"/>
        <v>2000.0003636363635</v>
      </c>
      <c r="T128" s="225">
        <f t="shared" si="34"/>
        <v>2000</v>
      </c>
      <c r="U128" s="213"/>
      <c r="V128" s="225">
        <f>SUM(V129:V133)</f>
        <v>93000.004000000001</v>
      </c>
      <c r="W128" s="227"/>
      <c r="X128" s="227"/>
    </row>
    <row r="129" spans="1:24" ht="15.75" customHeight="1">
      <c r="A129" s="128"/>
      <c r="B129" s="132" t="s">
        <v>246</v>
      </c>
      <c r="C129" s="208">
        <f>'Central Office'!C36</f>
        <v>10000</v>
      </c>
      <c r="D129" s="168">
        <f>'Central Office'!D36</f>
        <v>935</v>
      </c>
      <c r="E129" s="168">
        <f>'Central Office'!E36</f>
        <v>0</v>
      </c>
      <c r="F129" s="168">
        <f>'Central Office'!F36</f>
        <v>1000</v>
      </c>
      <c r="G129" s="210">
        <f t="shared" si="9"/>
        <v>-9000</v>
      </c>
      <c r="H129" s="211"/>
      <c r="I129" s="212">
        <f>'Central Office'!K36</f>
        <v>0</v>
      </c>
      <c r="J129" s="212">
        <f>'Central Office'!L36</f>
        <v>500</v>
      </c>
      <c r="K129" s="212">
        <f>'Central Office'!M36</f>
        <v>500</v>
      </c>
      <c r="L129" s="212">
        <f>'Central Office'!N36</f>
        <v>0</v>
      </c>
      <c r="M129" s="212">
        <f>'Central Office'!O36</f>
        <v>0</v>
      </c>
      <c r="N129" s="212">
        <f>'Central Office'!P36</f>
        <v>0</v>
      </c>
      <c r="O129" s="212">
        <f>'Central Office'!Q36</f>
        <v>0</v>
      </c>
      <c r="P129" s="212">
        <f>'Central Office'!R36</f>
        <v>0</v>
      </c>
      <c r="Q129" s="212">
        <f>'Central Office'!S36</f>
        <v>0</v>
      </c>
      <c r="R129" s="212">
        <f>'Central Office'!T36</f>
        <v>0</v>
      </c>
      <c r="S129" s="212">
        <f>'Central Office'!U36</f>
        <v>0</v>
      </c>
      <c r="T129" s="212">
        <f>'Central Office'!V36</f>
        <v>0</v>
      </c>
      <c r="U129" s="213"/>
      <c r="V129" s="214">
        <f t="shared" ref="V129:V133" si="35">SUM(I129:T129)</f>
        <v>1000</v>
      </c>
    </row>
    <row r="130" spans="1:24" ht="15.75" customHeight="1">
      <c r="A130" s="128"/>
      <c r="B130" s="132" t="s">
        <v>247</v>
      </c>
      <c r="C130" s="208">
        <f>'Central Office'!C37</f>
        <v>40000</v>
      </c>
      <c r="D130" s="168">
        <f>'Central Office'!D37</f>
        <v>49540</v>
      </c>
      <c r="E130" s="168">
        <f>'Central Office'!E37</f>
        <v>0</v>
      </c>
      <c r="F130" s="168">
        <f>'Central Office'!F37</f>
        <v>50000</v>
      </c>
      <c r="G130" s="210">
        <f t="shared" si="9"/>
        <v>10000</v>
      </c>
      <c r="H130" s="211"/>
      <c r="I130" s="212">
        <f>'Central Office'!K37</f>
        <v>1000</v>
      </c>
      <c r="J130" s="212">
        <f>'Central Office'!L37</f>
        <v>1000</v>
      </c>
      <c r="K130" s="212">
        <f>'Central Office'!M37</f>
        <v>1000</v>
      </c>
      <c r="L130" s="212">
        <f>'Central Office'!N37</f>
        <v>20000</v>
      </c>
      <c r="M130" s="212">
        <f>'Central Office'!O37</f>
        <v>1000</v>
      </c>
      <c r="N130" s="212">
        <f>'Central Office'!P37</f>
        <v>1000</v>
      </c>
      <c r="O130" s="212">
        <f>'Central Office'!Q37</f>
        <v>1000</v>
      </c>
      <c r="P130" s="212">
        <f>'Central Office'!R37</f>
        <v>1000</v>
      </c>
      <c r="Q130" s="212">
        <f>'Central Office'!S37</f>
        <v>1000</v>
      </c>
      <c r="R130" s="212">
        <f>'Central Office'!T37</f>
        <v>20000</v>
      </c>
      <c r="S130" s="212">
        <f>'Central Office'!U37</f>
        <v>1000</v>
      </c>
      <c r="T130" s="212">
        <f>'Central Office'!V37</f>
        <v>1000</v>
      </c>
      <c r="U130" s="213"/>
      <c r="V130" s="214">
        <f t="shared" si="35"/>
        <v>50000</v>
      </c>
    </row>
    <row r="131" spans="1:24" ht="15.75" customHeight="1">
      <c r="A131" s="128"/>
      <c r="B131" s="132" t="s">
        <v>248</v>
      </c>
      <c r="C131" s="208">
        <f>'Central Office'!C35</f>
        <v>3000</v>
      </c>
      <c r="D131" s="168">
        <f>'Central Office'!D35</f>
        <v>12996.93</v>
      </c>
      <c r="E131" s="168">
        <f>'Central Office'!E35</f>
        <v>3000</v>
      </c>
      <c r="F131" s="168">
        <f>'Central Office'!F35</f>
        <v>12000</v>
      </c>
      <c r="G131" s="210">
        <f t="shared" si="9"/>
        <v>9000</v>
      </c>
      <c r="H131" s="211"/>
      <c r="I131" s="212">
        <f>'Central Office'!K35</f>
        <v>1000</v>
      </c>
      <c r="J131" s="212">
        <f>'Central Office'!L35</f>
        <v>1000</v>
      </c>
      <c r="K131" s="212">
        <f>'Central Office'!M35</f>
        <v>1000</v>
      </c>
      <c r="L131" s="212">
        <f>'Central Office'!N35</f>
        <v>1000</v>
      </c>
      <c r="M131" s="212">
        <f>'Central Office'!O35</f>
        <v>1000</v>
      </c>
      <c r="N131" s="212">
        <f>'Central Office'!P35</f>
        <v>1000</v>
      </c>
      <c r="O131" s="212">
        <f>'Central Office'!Q35</f>
        <v>1000</v>
      </c>
      <c r="P131" s="212">
        <f>'Central Office'!R35</f>
        <v>1000</v>
      </c>
      <c r="Q131" s="212">
        <f>'Central Office'!S35</f>
        <v>1000</v>
      </c>
      <c r="R131" s="212">
        <f>'Central Office'!T35</f>
        <v>1000</v>
      </c>
      <c r="S131" s="212">
        <f>'Central Office'!U35</f>
        <v>1000</v>
      </c>
      <c r="T131" s="212">
        <f>'Central Office'!V35</f>
        <v>1000</v>
      </c>
      <c r="U131" s="213"/>
      <c r="V131" s="214">
        <f t="shared" si="35"/>
        <v>12000</v>
      </c>
    </row>
    <row r="132" spans="1:24" ht="15.75" customHeight="1">
      <c r="A132" s="128"/>
      <c r="B132" s="132" t="s">
        <v>249</v>
      </c>
      <c r="C132" s="166">
        <v>0</v>
      </c>
      <c r="D132" s="168">
        <v>0</v>
      </c>
      <c r="E132" s="168">
        <v>0</v>
      </c>
      <c r="F132" s="168">
        <f>'School Services'!F12</f>
        <v>0</v>
      </c>
      <c r="G132" s="210">
        <f t="shared" si="9"/>
        <v>0</v>
      </c>
      <c r="H132" s="211"/>
      <c r="I132" s="212">
        <f>'School Services'!K12</f>
        <v>3.6363636354508344E-4</v>
      </c>
      <c r="J132" s="212">
        <f>'School Services'!L12</f>
        <v>3.6363636354508344E-4</v>
      </c>
      <c r="K132" s="212">
        <f>'School Services'!M12</f>
        <v>3.6363636354508344E-4</v>
      </c>
      <c r="L132" s="212">
        <f>'School Services'!N12</f>
        <v>3.6363636354508344E-4</v>
      </c>
      <c r="M132" s="212">
        <f>'School Services'!O12</f>
        <v>3.6363636354508344E-4</v>
      </c>
      <c r="N132" s="212">
        <f>'School Services'!P12</f>
        <v>3.6363636354508344E-4</v>
      </c>
      <c r="O132" s="212">
        <f>'School Services'!Q12</f>
        <v>3.6363636354508344E-4</v>
      </c>
      <c r="P132" s="212">
        <f>'School Services'!R12</f>
        <v>3.6363636354508344E-4</v>
      </c>
      <c r="Q132" s="212">
        <f>'School Services'!S12</f>
        <v>3.6363636354508344E-4</v>
      </c>
      <c r="R132" s="212">
        <f>'School Services'!T12</f>
        <v>3.6363636354508344E-4</v>
      </c>
      <c r="S132" s="212">
        <f>'School Services'!U12</f>
        <v>3.6363636354508344E-4</v>
      </c>
      <c r="T132" s="212">
        <f>'School Services'!V12</f>
        <v>0</v>
      </c>
      <c r="U132" s="213"/>
      <c r="V132" s="214">
        <f t="shared" si="35"/>
        <v>3.9999999989959178E-3</v>
      </c>
      <c r="W132" s="227"/>
      <c r="X132" s="227"/>
    </row>
    <row r="133" spans="1:24" ht="16.5" customHeight="1">
      <c r="A133" s="128"/>
      <c r="B133" s="103" t="s">
        <v>250</v>
      </c>
      <c r="C133" s="166">
        <f>'Central Office'!C38</f>
        <v>0</v>
      </c>
      <c r="D133" s="167">
        <f>'Central Office'!D38</f>
        <v>54724.7</v>
      </c>
      <c r="E133" s="167">
        <f>'Central Office'!E38</f>
        <v>9249</v>
      </c>
      <c r="F133" s="167">
        <f>'Central Office'!F38</f>
        <v>30000</v>
      </c>
      <c r="G133" s="210">
        <f t="shared" si="9"/>
        <v>30000</v>
      </c>
      <c r="H133" s="211"/>
      <c r="I133" s="212">
        <f>'Central Office'!K38</f>
        <v>0</v>
      </c>
      <c r="J133" s="212">
        <f>'Central Office'!L38</f>
        <v>0</v>
      </c>
      <c r="K133" s="212">
        <f>'Central Office'!M38</f>
        <v>5000</v>
      </c>
      <c r="L133" s="212">
        <f>'Central Office'!N38</f>
        <v>5000</v>
      </c>
      <c r="M133" s="212">
        <f>'Central Office'!O38</f>
        <v>5000</v>
      </c>
      <c r="N133" s="212">
        <f>'Central Office'!P38</f>
        <v>5000</v>
      </c>
      <c r="O133" s="212">
        <f>'Central Office'!Q38</f>
        <v>5000</v>
      </c>
      <c r="P133" s="212">
        <f>'Central Office'!R38</f>
        <v>5000</v>
      </c>
      <c r="Q133" s="212">
        <f>'Central Office'!S38</f>
        <v>0</v>
      </c>
      <c r="R133" s="212">
        <f>'Central Office'!T38</f>
        <v>0</v>
      </c>
      <c r="S133" s="212">
        <f>'Central Office'!U38</f>
        <v>0</v>
      </c>
      <c r="T133" s="212">
        <f>'Central Office'!V38</f>
        <v>0</v>
      </c>
      <c r="U133" s="213"/>
      <c r="V133" s="214">
        <f t="shared" si="35"/>
        <v>30000</v>
      </c>
      <c r="W133" s="227"/>
      <c r="X133" s="227"/>
    </row>
    <row r="134" spans="1:24" ht="15.75" customHeight="1">
      <c r="A134" s="128"/>
      <c r="B134" s="185" t="s">
        <v>251</v>
      </c>
      <c r="C134" s="216">
        <f t="shared" ref="C134:F134" si="36">SUM(C135:C160)</f>
        <v>349708</v>
      </c>
      <c r="D134" s="204">
        <f t="shared" si="36"/>
        <v>225406.99000000002</v>
      </c>
      <c r="E134" s="204">
        <f t="shared" si="36"/>
        <v>199334</v>
      </c>
      <c r="F134" s="247">
        <f t="shared" si="36"/>
        <v>457200</v>
      </c>
      <c r="G134" s="224">
        <f t="shared" si="9"/>
        <v>107492</v>
      </c>
      <c r="H134" s="219"/>
      <c r="I134" s="248">
        <f t="shared" ref="I134:T134" si="37">SUM(I135:I160)</f>
        <v>46920.666666666664</v>
      </c>
      <c r="J134" s="248">
        <f t="shared" si="37"/>
        <v>44869.666666666672</v>
      </c>
      <c r="K134" s="248">
        <f t="shared" si="37"/>
        <v>32844.666666666672</v>
      </c>
      <c r="L134" s="248">
        <f t="shared" si="37"/>
        <v>42344.666666666672</v>
      </c>
      <c r="M134" s="248">
        <f t="shared" si="37"/>
        <v>39699.666666666672</v>
      </c>
      <c r="N134" s="248">
        <f t="shared" si="37"/>
        <v>51644.666666666672</v>
      </c>
      <c r="O134" s="248">
        <f t="shared" si="37"/>
        <v>40144.666666666672</v>
      </c>
      <c r="P134" s="248">
        <f t="shared" si="37"/>
        <v>39844.666666666672</v>
      </c>
      <c r="Q134" s="248">
        <f t="shared" si="37"/>
        <v>38644.666666666672</v>
      </c>
      <c r="R134" s="248">
        <f t="shared" si="37"/>
        <v>34944.666666666672</v>
      </c>
      <c r="S134" s="248">
        <f t="shared" si="37"/>
        <v>27019.666666666668</v>
      </c>
      <c r="T134" s="248">
        <f t="shared" si="37"/>
        <v>18277.666666666668</v>
      </c>
      <c r="U134" s="213"/>
      <c r="V134" s="248">
        <f>SUM(V135:V160)</f>
        <v>457200</v>
      </c>
      <c r="W134" s="227"/>
      <c r="X134" s="227"/>
    </row>
    <row r="135" spans="1:24" ht="15.75" customHeight="1">
      <c r="A135" s="128"/>
      <c r="B135" s="132" t="s">
        <v>252</v>
      </c>
      <c r="C135" s="166">
        <f>'Central Office'!C47</f>
        <v>0</v>
      </c>
      <c r="D135" s="167">
        <f>'Central Office'!D47</f>
        <v>5711.85</v>
      </c>
      <c r="E135" s="167">
        <f>'Central Office'!E47</f>
        <v>5000</v>
      </c>
      <c r="F135" s="167">
        <f>'Central Office'!F47</f>
        <v>12000</v>
      </c>
      <c r="G135" s="210">
        <f t="shared" si="9"/>
        <v>12000</v>
      </c>
      <c r="H135" s="249"/>
      <c r="I135" s="250">
        <f>'Central Office'!K47</f>
        <v>1200</v>
      </c>
      <c r="J135" s="250">
        <f>'Central Office'!L47</f>
        <v>1200</v>
      </c>
      <c r="K135" s="250">
        <f>'Central Office'!M47</f>
        <v>1200</v>
      </c>
      <c r="L135" s="250">
        <f>'Central Office'!N47</f>
        <v>1200</v>
      </c>
      <c r="M135" s="250">
        <f>'Central Office'!O47</f>
        <v>1200</v>
      </c>
      <c r="N135" s="250">
        <f>'Central Office'!P47</f>
        <v>1200</v>
      </c>
      <c r="O135" s="250">
        <f>'Central Office'!Q47</f>
        <v>1200</v>
      </c>
      <c r="P135" s="250">
        <f>'Central Office'!R47</f>
        <v>1200</v>
      </c>
      <c r="Q135" s="250">
        <f>'Central Office'!S47</f>
        <v>1200</v>
      </c>
      <c r="R135" s="250">
        <f>'Central Office'!T47</f>
        <v>1200</v>
      </c>
      <c r="S135" s="250">
        <f>'Central Office'!U47</f>
        <v>0</v>
      </c>
      <c r="T135" s="251">
        <f>'Central Office'!V47</f>
        <v>0</v>
      </c>
      <c r="U135" s="213"/>
      <c r="V135" s="214">
        <f t="shared" ref="V135:V161" si="38">SUM(I135:T135)</f>
        <v>12000</v>
      </c>
    </row>
    <row r="136" spans="1:24" ht="15.75" customHeight="1">
      <c r="A136" s="128"/>
      <c r="B136" s="132" t="s">
        <v>253</v>
      </c>
      <c r="C136" s="166">
        <f>'Exec Director'!C13</f>
        <v>0</v>
      </c>
      <c r="D136" s="167">
        <f>'Exec Director'!D13</f>
        <v>0</v>
      </c>
      <c r="E136" s="167">
        <f>'Exec Director'!E13</f>
        <v>0</v>
      </c>
      <c r="F136" s="167">
        <f>'Exec Director'!F13</f>
        <v>10000</v>
      </c>
      <c r="G136" s="210">
        <f t="shared" si="9"/>
        <v>10000</v>
      </c>
      <c r="H136" s="249"/>
      <c r="I136" s="250">
        <f>'Exec Director'!K13</f>
        <v>10000</v>
      </c>
      <c r="J136" s="250">
        <f>'Exec Director'!L13</f>
        <v>0</v>
      </c>
      <c r="K136" s="250">
        <f>'Exec Director'!M13</f>
        <v>0</v>
      </c>
      <c r="L136" s="250">
        <f>'Exec Director'!N13</f>
        <v>0</v>
      </c>
      <c r="M136" s="250">
        <f>'Exec Director'!O13</f>
        <v>0</v>
      </c>
      <c r="N136" s="250">
        <f>'Exec Director'!P13</f>
        <v>0</v>
      </c>
      <c r="O136" s="250">
        <f>'Exec Director'!Q13</f>
        <v>0</v>
      </c>
      <c r="P136" s="250">
        <f>'Exec Director'!R13</f>
        <v>0</v>
      </c>
      <c r="Q136" s="250">
        <f>'Exec Director'!S13</f>
        <v>0</v>
      </c>
      <c r="R136" s="250">
        <f>'Exec Director'!T13</f>
        <v>0</v>
      </c>
      <c r="S136" s="250">
        <f>'Exec Director'!U13</f>
        <v>0</v>
      </c>
      <c r="T136" s="250">
        <f>'Exec Director'!V13</f>
        <v>0</v>
      </c>
      <c r="U136" s="213"/>
      <c r="V136" s="214">
        <f t="shared" si="38"/>
        <v>10000</v>
      </c>
    </row>
    <row r="137" spans="1:24" ht="15.75" customHeight="1">
      <c r="A137" s="128"/>
      <c r="B137" s="132" t="s">
        <v>254</v>
      </c>
      <c r="C137" s="166">
        <f>'Central Office'!C42</f>
        <v>0</v>
      </c>
      <c r="D137" s="167">
        <f>'Central Office'!D42</f>
        <v>3073.59</v>
      </c>
      <c r="E137" s="167">
        <f>'Central Office'!E42</f>
        <v>3000</v>
      </c>
      <c r="F137" s="167">
        <f>'Central Office'!F42</f>
        <v>6000</v>
      </c>
      <c r="G137" s="210">
        <f t="shared" si="9"/>
        <v>6000</v>
      </c>
      <c r="H137" s="249"/>
      <c r="I137" s="251">
        <f>'Central Office'!K42</f>
        <v>500</v>
      </c>
      <c r="J137" s="251">
        <f>'Central Office'!L42</f>
        <v>500</v>
      </c>
      <c r="K137" s="251">
        <f>'Central Office'!M42</f>
        <v>500</v>
      </c>
      <c r="L137" s="251">
        <f>'Central Office'!N42</f>
        <v>500</v>
      </c>
      <c r="M137" s="251">
        <f>'Central Office'!O42</f>
        <v>500</v>
      </c>
      <c r="N137" s="251">
        <f>'Central Office'!P42</f>
        <v>500</v>
      </c>
      <c r="O137" s="251">
        <f>'Central Office'!Q42</f>
        <v>500</v>
      </c>
      <c r="P137" s="251">
        <f>'Central Office'!R42</f>
        <v>500</v>
      </c>
      <c r="Q137" s="251">
        <f>'Central Office'!S42</f>
        <v>500</v>
      </c>
      <c r="R137" s="251">
        <f>'Central Office'!T42</f>
        <v>500</v>
      </c>
      <c r="S137" s="251">
        <f>'Central Office'!U42</f>
        <v>500</v>
      </c>
      <c r="T137" s="251">
        <f>'Central Office'!V42</f>
        <v>500</v>
      </c>
      <c r="U137" s="213"/>
      <c r="V137" s="214">
        <f t="shared" si="38"/>
        <v>6000</v>
      </c>
    </row>
    <row r="138" spans="1:24" ht="15.75" customHeight="1">
      <c r="A138" s="128"/>
      <c r="B138" s="132" t="s">
        <v>255</v>
      </c>
      <c r="C138" s="166">
        <f>'Central Office'!C41+'Elem Campus'!C32+'Middle Campus'!C38+'Mar Comm'!C17+'Govern. Board'!C9</f>
        <v>75400</v>
      </c>
      <c r="D138" s="167">
        <f>'Central Office'!D41+'Elem Campus'!D32+'Middle Campus'!D38+'Mar Comm'!D17+'Govern. Board'!D9</f>
        <v>57838.819999999992</v>
      </c>
      <c r="E138" s="167">
        <f>'Central Office'!E41+'Elem Campus'!E32+'Middle Campus'!E38+'Mar Comm'!E17+'Govern. Board'!E9</f>
        <v>37553</v>
      </c>
      <c r="F138" s="167">
        <f>'Central Office'!F41+'Elem Campus'!F32+'Middle Campus'!F38+'Mar Comm'!F17+'Govern. Board'!F9</f>
        <v>81400</v>
      </c>
      <c r="G138" s="210">
        <f t="shared" si="9"/>
        <v>6000</v>
      </c>
      <c r="H138" s="249"/>
      <c r="I138" s="252">
        <f>'Central Office'!K41+'Elem Campus'!K32+'Middle Campus'!K38+'Mar Comm'!K17+'Govern. Board'!K9</f>
        <v>13500</v>
      </c>
      <c r="J138" s="252">
        <f>'Central Office'!L41+'Elem Campus'!L32+'Middle Campus'!L38+'Mar Comm'!L17+'Govern. Board'!L9</f>
        <v>10500</v>
      </c>
      <c r="K138" s="252">
        <f>'Central Office'!M41+'Elem Campus'!M32+'Middle Campus'!M38+'Mar Comm'!M17+'Govern. Board'!M9</f>
        <v>5275</v>
      </c>
      <c r="L138" s="252">
        <f>'Central Office'!N41+'Elem Campus'!N32+'Middle Campus'!N38+'Mar Comm'!N17+'Govern. Board'!N9</f>
        <v>13375</v>
      </c>
      <c r="M138" s="252">
        <f>'Central Office'!O41+'Elem Campus'!O32+'Middle Campus'!O38+'Mar Comm'!O17+'Govern. Board'!O9</f>
        <v>4875</v>
      </c>
      <c r="N138" s="252">
        <f>'Central Office'!P41+'Elem Campus'!P32+'Middle Campus'!P38+'Mar Comm'!P17+'Govern. Board'!P9</f>
        <v>4875</v>
      </c>
      <c r="O138" s="252">
        <f>'Central Office'!Q41+'Elem Campus'!Q32+'Middle Campus'!Q38+'Mar Comm'!Q17+'Govern. Board'!Q9</f>
        <v>4875</v>
      </c>
      <c r="P138" s="252">
        <f>'Central Office'!R41+'Elem Campus'!R32+'Middle Campus'!R38+'Mar Comm'!R17+'Govern. Board'!R9</f>
        <v>13375</v>
      </c>
      <c r="Q138" s="252">
        <f>'Central Office'!S41+'Elem Campus'!S32+'Middle Campus'!S38+'Mar Comm'!S17+'Govern. Board'!S9</f>
        <v>4875</v>
      </c>
      <c r="R138" s="252">
        <f>'Central Office'!T41+'Elem Campus'!T32+'Middle Campus'!T38+'Mar Comm'!T17+'Govern. Board'!T9</f>
        <v>4875</v>
      </c>
      <c r="S138" s="252">
        <f>'Central Office'!U41+'Elem Campus'!U32+'Middle Campus'!U38+'Mar Comm'!U17+'Govern. Board'!U9</f>
        <v>500</v>
      </c>
      <c r="T138" s="214">
        <f>'Central Office'!V41+'Elem Campus'!V32+'Middle Campus'!V38+'Mar Comm'!V17+'Govern. Board'!V9</f>
        <v>500</v>
      </c>
      <c r="U138" s="213"/>
      <c r="V138" s="214">
        <f t="shared" si="38"/>
        <v>81400</v>
      </c>
    </row>
    <row r="139" spans="1:24" ht="15.75" customHeight="1">
      <c r="A139" s="128"/>
      <c r="B139" s="132" t="s">
        <v>256</v>
      </c>
      <c r="C139" s="166">
        <f>'Central Office'!C52</f>
        <v>0</v>
      </c>
      <c r="D139" s="167">
        <f>'Central Office'!D52</f>
        <v>5465.19</v>
      </c>
      <c r="E139" s="167">
        <f>'Central Office'!E52</f>
        <v>5000</v>
      </c>
      <c r="F139" s="167">
        <f>'Central Office'!F52+'Exec Director'!F14</f>
        <v>5000</v>
      </c>
      <c r="G139" s="210">
        <f t="shared" si="9"/>
        <v>5000</v>
      </c>
      <c r="H139" s="249"/>
      <c r="I139" s="253">
        <f>'Central Office'!K52+'Exec Director'!K14</f>
        <v>0</v>
      </c>
      <c r="J139" s="253">
        <f>'Central Office'!L52+'Exec Director'!L14</f>
        <v>500</v>
      </c>
      <c r="K139" s="253">
        <f>'Central Office'!M52+'Exec Director'!M14</f>
        <v>500</v>
      </c>
      <c r="L139" s="253">
        <f>'Central Office'!N52+'Exec Director'!N14</f>
        <v>500</v>
      </c>
      <c r="M139" s="253">
        <f>'Central Office'!O52+'Exec Director'!O14</f>
        <v>500</v>
      </c>
      <c r="N139" s="253">
        <f>'Central Office'!P52+'Exec Director'!P14</f>
        <v>500</v>
      </c>
      <c r="O139" s="253">
        <f>'Central Office'!Q52+'Exec Director'!Q14</f>
        <v>500</v>
      </c>
      <c r="P139" s="253">
        <f>'Central Office'!R52+'Exec Director'!R14</f>
        <v>500</v>
      </c>
      <c r="Q139" s="253">
        <f>'Central Office'!S52+'Exec Director'!S14</f>
        <v>500</v>
      </c>
      <c r="R139" s="253">
        <f>'Central Office'!T52+'Exec Director'!T14</f>
        <v>500</v>
      </c>
      <c r="S139" s="253">
        <f>'Central Office'!U52+'Exec Director'!U14</f>
        <v>500</v>
      </c>
      <c r="T139" s="253">
        <f>'Central Office'!V52+'Exec Director'!V14</f>
        <v>0</v>
      </c>
      <c r="U139" s="213"/>
      <c r="V139" s="214">
        <f t="shared" si="38"/>
        <v>5000</v>
      </c>
    </row>
    <row r="140" spans="1:24" ht="15.75" customHeight="1">
      <c r="A140" s="128"/>
      <c r="B140" s="132" t="s">
        <v>257</v>
      </c>
      <c r="C140" s="166">
        <f>'Central Office'!C44+'Govern. Board'!C10+Diversity!C13</f>
        <v>4000</v>
      </c>
      <c r="D140" s="167">
        <f>'Central Office'!D44+'Govern. Board'!D10+Diversity!D13</f>
        <v>2491.0499999999997</v>
      </c>
      <c r="E140" s="167">
        <f>'Central Office'!E44+'Govern. Board'!E10+Diversity!E13</f>
        <v>1650</v>
      </c>
      <c r="F140" s="167">
        <f>'Central Office'!F44+'Govern. Board'!F10+Diversity!F13+'Exec Director'!F11</f>
        <v>4500</v>
      </c>
      <c r="G140" s="210">
        <f t="shared" si="9"/>
        <v>500</v>
      </c>
      <c r="H140" s="249"/>
      <c r="I140" s="253">
        <f>'Central Office'!K44+Diversity!K13+'Govern. Board'!K10+'Exec Director'!K11</f>
        <v>0</v>
      </c>
      <c r="J140" s="253">
        <f>'Central Office'!L44+Diversity!L13+'Govern. Board'!L10+'Exec Director'!L11</f>
        <v>450</v>
      </c>
      <c r="K140" s="253">
        <f>'Central Office'!M44+Diversity!M13+'Govern. Board'!M10+'Exec Director'!M11</f>
        <v>450</v>
      </c>
      <c r="L140" s="253">
        <f>'Central Office'!N44+Diversity!N13+'Govern. Board'!N10+'Exec Director'!N11</f>
        <v>450</v>
      </c>
      <c r="M140" s="253">
        <f>'Central Office'!O44+Diversity!O13+'Govern. Board'!O10+'Exec Director'!O11</f>
        <v>450</v>
      </c>
      <c r="N140" s="253">
        <f>'Central Office'!P44+Diversity!P13+'Govern. Board'!P10+'Exec Director'!P11</f>
        <v>450</v>
      </c>
      <c r="O140" s="253">
        <f>'Central Office'!Q44+Diversity!Q13+'Govern. Board'!Q10+'Exec Director'!Q11</f>
        <v>450</v>
      </c>
      <c r="P140" s="253">
        <f>'Central Office'!R44+Diversity!R13+'Govern. Board'!R10+'Exec Director'!R11</f>
        <v>450</v>
      </c>
      <c r="Q140" s="253">
        <f>'Central Office'!S44+Diversity!S13+'Govern. Board'!S10+'Exec Director'!S11</f>
        <v>450</v>
      </c>
      <c r="R140" s="253">
        <f>'Central Office'!T44+Diversity!T13+'Govern. Board'!T10+'Exec Director'!T11</f>
        <v>450</v>
      </c>
      <c r="S140" s="253">
        <f>'Central Office'!U44+Diversity!U13+'Govern. Board'!U10+'Exec Director'!U11</f>
        <v>450</v>
      </c>
      <c r="T140" s="253">
        <f>'Central Office'!V44+Diversity!V13+'Govern. Board'!V10+'Exec Director'!V11</f>
        <v>0</v>
      </c>
      <c r="U140" s="213"/>
      <c r="V140" s="214">
        <f t="shared" si="38"/>
        <v>4500</v>
      </c>
    </row>
    <row r="141" spans="1:24" ht="15.75" customHeight="1">
      <c r="A141" s="128"/>
      <c r="B141" s="132" t="s">
        <v>258</v>
      </c>
      <c r="C141" s="166">
        <f>'Central Office'!C45</f>
        <v>81908</v>
      </c>
      <c r="D141" s="233">
        <f>'Central Office'!D45</f>
        <v>48364.62000000001</v>
      </c>
      <c r="E141" s="233">
        <f>'Central Office'!E45</f>
        <v>48365</v>
      </c>
      <c r="F141" s="233">
        <f>'Central Office'!F45</f>
        <v>100000</v>
      </c>
      <c r="G141" s="210">
        <f t="shared" si="9"/>
        <v>18092</v>
      </c>
      <c r="H141" s="249"/>
      <c r="I141" s="253">
        <f>'Central Office'!K45</f>
        <v>8333</v>
      </c>
      <c r="J141" s="254">
        <f>'Central Office'!L45</f>
        <v>8333</v>
      </c>
      <c r="K141" s="254">
        <f>'Central Office'!M45</f>
        <v>8333</v>
      </c>
      <c r="L141" s="254">
        <f>'Central Office'!N45</f>
        <v>8333</v>
      </c>
      <c r="M141" s="254">
        <f>'Central Office'!O45</f>
        <v>8333</v>
      </c>
      <c r="N141" s="254">
        <f>'Central Office'!P45</f>
        <v>8333</v>
      </c>
      <c r="O141" s="254">
        <f>'Central Office'!Q45</f>
        <v>8333</v>
      </c>
      <c r="P141" s="254">
        <f>'Central Office'!R45</f>
        <v>8333</v>
      </c>
      <c r="Q141" s="254">
        <f>'Central Office'!S45</f>
        <v>8333</v>
      </c>
      <c r="R141" s="254">
        <f>'Central Office'!T45</f>
        <v>8333</v>
      </c>
      <c r="S141" s="254">
        <f>'Central Office'!U45</f>
        <v>8333</v>
      </c>
      <c r="T141" s="255">
        <f>'Central Office'!V45</f>
        <v>8337</v>
      </c>
      <c r="U141" s="213"/>
      <c r="V141" s="214">
        <f t="shared" si="38"/>
        <v>100000</v>
      </c>
    </row>
    <row r="142" spans="1:24" ht="15.75" customHeight="1">
      <c r="A142" s="128"/>
      <c r="B142" s="132" t="s">
        <v>259</v>
      </c>
      <c r="C142" s="208">
        <f>'Central Office'!C46</f>
        <v>6000</v>
      </c>
      <c r="D142" s="168">
        <f>'Central Office'!D46</f>
        <v>1110.28</v>
      </c>
      <c r="E142" s="168">
        <f>'Central Office'!E46</f>
        <v>1500</v>
      </c>
      <c r="F142" s="168">
        <f>'Central Office'!F46</f>
        <v>6000</v>
      </c>
      <c r="G142" s="210">
        <f t="shared" si="9"/>
        <v>0</v>
      </c>
      <c r="H142" s="249"/>
      <c r="I142" s="253">
        <f>'Central Office'!K46</f>
        <v>0</v>
      </c>
      <c r="J142" s="256">
        <f>'Central Office'!L46</f>
        <v>600</v>
      </c>
      <c r="K142" s="256">
        <f>'Central Office'!M46</f>
        <v>600</v>
      </c>
      <c r="L142" s="256">
        <f>'Central Office'!N46</f>
        <v>600</v>
      </c>
      <c r="M142" s="256">
        <f>'Central Office'!O46</f>
        <v>600</v>
      </c>
      <c r="N142" s="256">
        <f>'Central Office'!P46</f>
        <v>600</v>
      </c>
      <c r="O142" s="256">
        <f>'Central Office'!Q46</f>
        <v>600</v>
      </c>
      <c r="P142" s="256">
        <f>'Central Office'!R46</f>
        <v>600</v>
      </c>
      <c r="Q142" s="256">
        <f>'Central Office'!S46</f>
        <v>600</v>
      </c>
      <c r="R142" s="256">
        <f>'Central Office'!T46</f>
        <v>600</v>
      </c>
      <c r="S142" s="256">
        <f>'Central Office'!U46</f>
        <v>600</v>
      </c>
      <c r="T142" s="257">
        <f>'Central Office'!V46</f>
        <v>0</v>
      </c>
      <c r="U142" s="213"/>
      <c r="V142" s="214">
        <f t="shared" si="38"/>
        <v>6000</v>
      </c>
    </row>
    <row r="143" spans="1:24" ht="15.75" customHeight="1">
      <c r="A143" s="128"/>
      <c r="B143" s="132" t="s">
        <v>260</v>
      </c>
      <c r="C143" s="208">
        <f>'Mar Comm'!C12</f>
        <v>11600</v>
      </c>
      <c r="D143" s="168">
        <f>'Mar Comm'!D12</f>
        <v>8870.619999999999</v>
      </c>
      <c r="E143" s="168">
        <f>'Mar Comm'!E12</f>
        <v>2739</v>
      </c>
      <c r="F143" s="168">
        <f>'Mar Comm'!F12</f>
        <v>12000</v>
      </c>
      <c r="G143" s="210">
        <f t="shared" si="9"/>
        <v>400</v>
      </c>
      <c r="H143" s="249"/>
      <c r="I143" s="253">
        <f>'Mar Comm'!K12</f>
        <v>1000</v>
      </c>
      <c r="J143" s="253">
        <f>'Mar Comm'!L12</f>
        <v>1000</v>
      </c>
      <c r="K143" s="253">
        <f>'Mar Comm'!M12</f>
        <v>1000</v>
      </c>
      <c r="L143" s="253">
        <f>'Mar Comm'!N12</f>
        <v>400</v>
      </c>
      <c r="M143" s="253">
        <f>'Mar Comm'!O12</f>
        <v>2100</v>
      </c>
      <c r="N143" s="253">
        <f>'Mar Comm'!P12</f>
        <v>2100</v>
      </c>
      <c r="O143" s="253">
        <f>'Mar Comm'!Q12</f>
        <v>3000</v>
      </c>
      <c r="P143" s="253">
        <f>'Mar Comm'!R12</f>
        <v>0</v>
      </c>
      <c r="Q143" s="253">
        <f>'Mar Comm'!S12</f>
        <v>0</v>
      </c>
      <c r="R143" s="253">
        <f>'Mar Comm'!T12</f>
        <v>0</v>
      </c>
      <c r="S143" s="253">
        <f>'Mar Comm'!U12</f>
        <v>400</v>
      </c>
      <c r="T143" s="258">
        <f>'Mar Comm'!V12</f>
        <v>1000</v>
      </c>
      <c r="U143" s="213"/>
      <c r="V143" s="214">
        <f t="shared" si="38"/>
        <v>12000</v>
      </c>
    </row>
    <row r="144" spans="1:24" ht="15.75" customHeight="1">
      <c r="A144" s="128"/>
      <c r="B144" s="207" t="s">
        <v>261</v>
      </c>
      <c r="C144" s="208">
        <f>'Central Office'!C40+'Elem Campus'!C34+'Middle Campus'!C41</f>
        <v>0</v>
      </c>
      <c r="D144" s="168">
        <f>'Central Office'!D40+'Elem Campus'!D34+'Middle Campus'!D41</f>
        <v>8189.94</v>
      </c>
      <c r="E144" s="168">
        <f>'Central Office'!E40+'Elem Campus'!E34+'Middle Campus'!E41</f>
        <v>4500</v>
      </c>
      <c r="F144" s="168">
        <f>'Central Office'!F40+'Elem Campus'!F34+'Middle Campus'!F41</f>
        <v>6500</v>
      </c>
      <c r="G144" s="210">
        <f t="shared" si="9"/>
        <v>6500</v>
      </c>
      <c r="H144" s="249"/>
      <c r="I144" s="259">
        <f>'Central Office'!K40+'Elem Campus'!K34+'Middle Campus'!K41</f>
        <v>45</v>
      </c>
      <c r="J144" s="259">
        <f>'Central Office'!L40+'Elem Campus'!L34+'Middle Campus'!L41</f>
        <v>345</v>
      </c>
      <c r="K144" s="259">
        <f>'Central Office'!M40+'Elem Campus'!M34+'Middle Campus'!M41</f>
        <v>345</v>
      </c>
      <c r="L144" s="259">
        <f>'Central Office'!N40+'Elem Campus'!N34+'Middle Campus'!N41</f>
        <v>345</v>
      </c>
      <c r="M144" s="259">
        <f>'Central Office'!O40+'Elem Campus'!O34+'Middle Campus'!O41</f>
        <v>1300</v>
      </c>
      <c r="N144" s="259">
        <f>'Central Office'!P40+'Elem Campus'!P34+'Middle Campus'!P41</f>
        <v>2545</v>
      </c>
      <c r="O144" s="259">
        <f>'Central Office'!Q40+'Elem Campus'!Q34+'Middle Campus'!Q41</f>
        <v>345</v>
      </c>
      <c r="P144" s="259">
        <f>'Central Office'!R40+'Elem Campus'!R34+'Middle Campus'!R41</f>
        <v>345</v>
      </c>
      <c r="Q144" s="259">
        <f>'Central Office'!S40+'Elem Campus'!S34+'Middle Campus'!S41</f>
        <v>345</v>
      </c>
      <c r="R144" s="259">
        <f>'Central Office'!T40+'Elem Campus'!T34+'Middle Campus'!T41</f>
        <v>345</v>
      </c>
      <c r="S144" s="259">
        <f>'Central Office'!U40+'Elem Campus'!U34+'Middle Campus'!U41</f>
        <v>195</v>
      </c>
      <c r="T144" s="259">
        <f>'Central Office'!V40+'Elem Campus'!V34+'Middle Campus'!V41</f>
        <v>0</v>
      </c>
      <c r="U144" s="213"/>
      <c r="V144" s="214">
        <f t="shared" si="38"/>
        <v>6500</v>
      </c>
    </row>
    <row r="145" spans="1:24" ht="15.75" customHeight="1">
      <c r="A145" s="128"/>
      <c r="B145" s="207" t="s">
        <v>262</v>
      </c>
      <c r="C145" s="208">
        <f>'Elem Campus'!C37+'Middle Campus'!C44</f>
        <v>11000</v>
      </c>
      <c r="D145" s="168">
        <f>'Elem Campus'!D37+'Middle Campus'!D44</f>
        <v>2110.08</v>
      </c>
      <c r="E145" s="168">
        <f>'Elem Campus'!E37+'Middle Campus'!E44</f>
        <v>1000</v>
      </c>
      <c r="F145" s="168">
        <f>'Elem Campus'!F37+'Middle Campus'!F44</f>
        <v>3000</v>
      </c>
      <c r="G145" s="210">
        <f t="shared" si="9"/>
        <v>-8000</v>
      </c>
      <c r="H145" s="249"/>
      <c r="I145" s="253">
        <f>'Elem Campus'!K37+'Middle Campus'!K44</f>
        <v>1000</v>
      </c>
      <c r="J145" s="253">
        <f>'Elem Campus'!L37+'Middle Campus'!L44</f>
        <v>200</v>
      </c>
      <c r="K145" s="253">
        <f>'Elem Campus'!M37+'Middle Campus'!M44</f>
        <v>200</v>
      </c>
      <c r="L145" s="253">
        <f>'Elem Campus'!N37+'Middle Campus'!N44</f>
        <v>200</v>
      </c>
      <c r="M145" s="253">
        <f>'Elem Campus'!O37+'Middle Campus'!O44</f>
        <v>200</v>
      </c>
      <c r="N145" s="253">
        <f>'Elem Campus'!P37+'Middle Campus'!P44</f>
        <v>200</v>
      </c>
      <c r="O145" s="253">
        <f>'Elem Campus'!Q37+'Middle Campus'!Q44</f>
        <v>200</v>
      </c>
      <c r="P145" s="253">
        <f>'Elem Campus'!R37+'Middle Campus'!R44</f>
        <v>200</v>
      </c>
      <c r="Q145" s="253">
        <f>'Elem Campus'!S37+'Middle Campus'!S44</f>
        <v>200</v>
      </c>
      <c r="R145" s="253">
        <f>'Elem Campus'!T37+'Middle Campus'!T44</f>
        <v>200</v>
      </c>
      <c r="S145" s="253">
        <f>'Elem Campus'!U37+'Middle Campus'!U44</f>
        <v>200</v>
      </c>
      <c r="T145" s="258">
        <f>'Elem Campus'!V37+'Middle Campus'!V44</f>
        <v>0</v>
      </c>
      <c r="U145" s="213"/>
      <c r="V145" s="214">
        <f t="shared" si="38"/>
        <v>3000</v>
      </c>
    </row>
    <row r="146" spans="1:24" ht="15.75" customHeight="1">
      <c r="A146" s="128"/>
      <c r="B146" s="207" t="s">
        <v>263</v>
      </c>
      <c r="C146" s="208">
        <f>'EC Facilities'!C34</f>
        <v>0</v>
      </c>
      <c r="D146" s="168">
        <f>'EC Facilities'!D34</f>
        <v>151.31</v>
      </c>
      <c r="E146" s="168">
        <f>'EC Facilities'!E34</f>
        <v>150</v>
      </c>
      <c r="F146" s="168">
        <f>'EC Facilities'!F34</f>
        <v>300</v>
      </c>
      <c r="G146" s="210">
        <f t="shared" si="9"/>
        <v>300</v>
      </c>
      <c r="H146" s="211"/>
      <c r="I146" s="260">
        <f>'EC Facilities'!K34</f>
        <v>0</v>
      </c>
      <c r="J146" s="260">
        <f>'EC Facilities'!L34</f>
        <v>0</v>
      </c>
      <c r="K146" s="260">
        <f>'EC Facilities'!M34</f>
        <v>0</v>
      </c>
      <c r="L146" s="260">
        <f>'EC Facilities'!N34</f>
        <v>100</v>
      </c>
      <c r="M146" s="260">
        <f>'EC Facilities'!O34</f>
        <v>0</v>
      </c>
      <c r="N146" s="260">
        <f>'EC Facilities'!P34</f>
        <v>0</v>
      </c>
      <c r="O146" s="260">
        <f>'EC Facilities'!Q34</f>
        <v>100</v>
      </c>
      <c r="P146" s="260">
        <f>'EC Facilities'!R34</f>
        <v>0</v>
      </c>
      <c r="Q146" s="260">
        <f>'EC Facilities'!S34</f>
        <v>0</v>
      </c>
      <c r="R146" s="260">
        <f>'EC Facilities'!T34</f>
        <v>0</v>
      </c>
      <c r="S146" s="260">
        <f>'EC Facilities'!U34</f>
        <v>0</v>
      </c>
      <c r="T146" s="228">
        <f>'EC Facilities'!V34</f>
        <v>100</v>
      </c>
      <c r="U146" s="235"/>
      <c r="V146" s="214">
        <f t="shared" si="38"/>
        <v>300</v>
      </c>
    </row>
    <row r="147" spans="1:24" ht="15.75" customHeight="1">
      <c r="A147" s="128"/>
      <c r="B147" s="207" t="s">
        <v>264</v>
      </c>
      <c r="C147" s="208">
        <v>0</v>
      </c>
      <c r="D147" s="168">
        <v>0</v>
      </c>
      <c r="E147" s="168">
        <v>0</v>
      </c>
      <c r="F147" s="168">
        <f>'School Services'!F11</f>
        <v>5000</v>
      </c>
      <c r="G147" s="210">
        <f t="shared" si="9"/>
        <v>5000</v>
      </c>
      <c r="H147" s="249"/>
      <c r="I147" s="253">
        <f>'School Services'!K11</f>
        <v>0</v>
      </c>
      <c r="J147" s="253">
        <f>'School Services'!L11</f>
        <v>500</v>
      </c>
      <c r="K147" s="253">
        <f>'School Services'!M11</f>
        <v>500</v>
      </c>
      <c r="L147" s="253">
        <f>'School Services'!N11</f>
        <v>500</v>
      </c>
      <c r="M147" s="253">
        <f>'School Services'!O11</f>
        <v>500</v>
      </c>
      <c r="N147" s="253">
        <f>'School Services'!P11</f>
        <v>500</v>
      </c>
      <c r="O147" s="253">
        <f>'School Services'!Q11</f>
        <v>500</v>
      </c>
      <c r="P147" s="253">
        <f>'School Services'!R11</f>
        <v>500</v>
      </c>
      <c r="Q147" s="253">
        <f>'School Services'!S11</f>
        <v>500</v>
      </c>
      <c r="R147" s="253">
        <f>'School Services'!T11</f>
        <v>500</v>
      </c>
      <c r="S147" s="253">
        <f>'School Services'!U11</f>
        <v>500</v>
      </c>
      <c r="T147" s="258">
        <f>'School Services'!V11</f>
        <v>0</v>
      </c>
      <c r="U147" s="213"/>
      <c r="V147" s="214">
        <f t="shared" si="38"/>
        <v>5000</v>
      </c>
    </row>
    <row r="148" spans="1:24" ht="15.75" customHeight="1">
      <c r="A148" s="128"/>
      <c r="B148" s="207" t="s">
        <v>265</v>
      </c>
      <c r="C148" s="208">
        <f>'Central Office'!C43</f>
        <v>0</v>
      </c>
      <c r="D148" s="168">
        <f>'Central Office'!D43</f>
        <v>1456</v>
      </c>
      <c r="E148" s="168">
        <f>'Central Office'!E43</f>
        <v>3000</v>
      </c>
      <c r="F148" s="168">
        <f>'Central Office'!F43</f>
        <v>5000</v>
      </c>
      <c r="G148" s="210">
        <f t="shared" si="9"/>
        <v>5000</v>
      </c>
      <c r="H148" s="249"/>
      <c r="I148" s="253">
        <f>'Central Office'!K43</f>
        <v>0</v>
      </c>
      <c r="J148" s="253">
        <f>'Central Office'!L43</f>
        <v>500</v>
      </c>
      <c r="K148" s="253">
        <f>'Central Office'!M43</f>
        <v>500</v>
      </c>
      <c r="L148" s="253">
        <f>'Central Office'!N43</f>
        <v>500</v>
      </c>
      <c r="M148" s="253">
        <f>'Central Office'!O43</f>
        <v>500</v>
      </c>
      <c r="N148" s="253">
        <f>'Central Office'!P43</f>
        <v>500</v>
      </c>
      <c r="O148" s="253">
        <f>'Central Office'!Q43</f>
        <v>500</v>
      </c>
      <c r="P148" s="253">
        <f>'Central Office'!R43</f>
        <v>500</v>
      </c>
      <c r="Q148" s="253">
        <f>'Central Office'!S43</f>
        <v>500</v>
      </c>
      <c r="R148" s="253">
        <f>'Central Office'!T43</f>
        <v>500</v>
      </c>
      <c r="S148" s="253">
        <f>'Central Office'!U43</f>
        <v>500</v>
      </c>
      <c r="T148" s="258">
        <f>'Central Office'!V43</f>
        <v>0</v>
      </c>
      <c r="U148" s="213"/>
      <c r="V148" s="214">
        <f t="shared" si="38"/>
        <v>5000</v>
      </c>
    </row>
    <row r="149" spans="1:24" ht="15.75" customHeight="1">
      <c r="A149" s="128"/>
      <c r="B149" s="207" t="s">
        <v>266</v>
      </c>
      <c r="C149" s="208">
        <f>'Central Office'!C50</f>
        <v>58000</v>
      </c>
      <c r="D149" s="168">
        <f>'Central Office'!D50</f>
        <v>34426.409999999996</v>
      </c>
      <c r="E149" s="168">
        <f>'Central Office'!E50</f>
        <v>34426</v>
      </c>
      <c r="F149" s="168">
        <f>'Central Office'!F50</f>
        <v>65000</v>
      </c>
      <c r="G149" s="210">
        <f t="shared" si="9"/>
        <v>7000</v>
      </c>
      <c r="H149" s="249"/>
      <c r="I149" s="253">
        <f>'Central Office'!K50</f>
        <v>5416.666666666667</v>
      </c>
      <c r="J149" s="253">
        <f>'Central Office'!L50</f>
        <v>5416.666666666667</v>
      </c>
      <c r="K149" s="253">
        <f>'Central Office'!M50</f>
        <v>5416.666666666667</v>
      </c>
      <c r="L149" s="253">
        <f>'Central Office'!N50</f>
        <v>5416.666666666667</v>
      </c>
      <c r="M149" s="253">
        <f>'Central Office'!O50</f>
        <v>5416.666666666667</v>
      </c>
      <c r="N149" s="253">
        <f>'Central Office'!P50</f>
        <v>5416.666666666667</v>
      </c>
      <c r="O149" s="253">
        <f>'Central Office'!Q50</f>
        <v>5416.666666666667</v>
      </c>
      <c r="P149" s="253">
        <f>'Central Office'!R50</f>
        <v>5416.666666666667</v>
      </c>
      <c r="Q149" s="253">
        <f>'Central Office'!S50</f>
        <v>5416.666666666667</v>
      </c>
      <c r="R149" s="253">
        <f>'Central Office'!T50</f>
        <v>5416.666666666667</v>
      </c>
      <c r="S149" s="253">
        <f>'Central Office'!U50</f>
        <v>5416.666666666667</v>
      </c>
      <c r="T149" s="258">
        <f>'Central Office'!V50</f>
        <v>5416.666666666667</v>
      </c>
      <c r="U149" s="213"/>
      <c r="V149" s="214">
        <f t="shared" si="38"/>
        <v>64999.999999999993</v>
      </c>
    </row>
    <row r="150" spans="1:24" ht="15.75" customHeight="1">
      <c r="A150" s="128"/>
      <c r="B150" s="207" t="s">
        <v>267</v>
      </c>
      <c r="C150" s="208">
        <f>'Central Office'!C53</f>
        <v>5000</v>
      </c>
      <c r="D150" s="168">
        <f>'Central Office'!D53</f>
        <v>934.42000000000007</v>
      </c>
      <c r="E150" s="168">
        <f>'Central Office'!E53</f>
        <v>1000</v>
      </c>
      <c r="F150" s="168">
        <f>'Central Office'!F53</f>
        <v>2500</v>
      </c>
      <c r="G150" s="210">
        <f t="shared" si="9"/>
        <v>-2500</v>
      </c>
      <c r="H150" s="249"/>
      <c r="I150" s="253">
        <f>'Central Office'!K53</f>
        <v>0</v>
      </c>
      <c r="J150" s="253">
        <f>'Central Office'!L53</f>
        <v>250</v>
      </c>
      <c r="K150" s="253">
        <f>'Central Office'!M53</f>
        <v>250</v>
      </c>
      <c r="L150" s="253">
        <f>'Central Office'!N53</f>
        <v>250</v>
      </c>
      <c r="M150" s="253">
        <f>'Central Office'!O53</f>
        <v>250</v>
      </c>
      <c r="N150" s="253">
        <f>'Central Office'!P53</f>
        <v>250</v>
      </c>
      <c r="O150" s="253">
        <f>'Central Office'!Q53</f>
        <v>250</v>
      </c>
      <c r="P150" s="253">
        <f>'Central Office'!R53</f>
        <v>250</v>
      </c>
      <c r="Q150" s="253">
        <f>'Central Office'!S53</f>
        <v>250</v>
      </c>
      <c r="R150" s="253">
        <f>'Central Office'!T53</f>
        <v>250</v>
      </c>
      <c r="S150" s="253">
        <f>'Central Office'!U53</f>
        <v>250</v>
      </c>
      <c r="T150" s="258">
        <f>'Central Office'!V53</f>
        <v>0</v>
      </c>
      <c r="U150" s="213"/>
      <c r="V150" s="214">
        <f t="shared" si="38"/>
        <v>2500</v>
      </c>
    </row>
    <row r="151" spans="1:24" ht="15.75" customHeight="1">
      <c r="A151" s="128"/>
      <c r="B151" s="132" t="s">
        <v>268</v>
      </c>
      <c r="C151" s="208">
        <f>'Elem Campus'!C33+'Middle Campus'!C39</f>
        <v>0</v>
      </c>
      <c r="D151" s="168">
        <f>'Elem Campus'!D33+'Middle Campus'!D39</f>
        <v>0</v>
      </c>
      <c r="E151" s="168">
        <f>'Elem Campus'!E33+'Middle Campus'!E39</f>
        <v>0</v>
      </c>
      <c r="F151" s="168">
        <f>'Elem Campus'!F33+'Middle Campus'!F39</f>
        <v>14000</v>
      </c>
      <c r="G151" s="210">
        <f t="shared" si="9"/>
        <v>14000</v>
      </c>
      <c r="H151" s="249"/>
      <c r="I151" s="253">
        <f>'Elem Campus'!K33+'Middle Campus'!K39</f>
        <v>0</v>
      </c>
      <c r="J151" s="253">
        <f>'Elem Campus'!L33+'Middle Campus'!L39</f>
        <v>1400</v>
      </c>
      <c r="K151" s="253">
        <f>'Elem Campus'!M33+'Middle Campus'!M39</f>
        <v>1400</v>
      </c>
      <c r="L151" s="253">
        <f>'Elem Campus'!N33+'Middle Campus'!N39</f>
        <v>1400</v>
      </c>
      <c r="M151" s="253">
        <f>'Elem Campus'!O33+'Middle Campus'!O39</f>
        <v>1400</v>
      </c>
      <c r="N151" s="253">
        <f>'Elem Campus'!P33+'Middle Campus'!P39</f>
        <v>1400</v>
      </c>
      <c r="O151" s="253">
        <f>'Elem Campus'!Q33+'Middle Campus'!Q39</f>
        <v>1400</v>
      </c>
      <c r="P151" s="253">
        <f>'Elem Campus'!R33+'Middle Campus'!R39</f>
        <v>1400</v>
      </c>
      <c r="Q151" s="253">
        <f>'Elem Campus'!S33+'Middle Campus'!S39</f>
        <v>1400</v>
      </c>
      <c r="R151" s="253">
        <f>'Elem Campus'!T33+'Middle Campus'!T39</f>
        <v>1400</v>
      </c>
      <c r="S151" s="253">
        <f>'Elem Campus'!U33+'Middle Campus'!U39</f>
        <v>1400</v>
      </c>
      <c r="T151" s="253">
        <v>0</v>
      </c>
      <c r="U151" s="213"/>
      <c r="V151" s="214">
        <f t="shared" si="38"/>
        <v>14000</v>
      </c>
    </row>
    <row r="152" spans="1:24" ht="15.75" customHeight="1">
      <c r="A152" s="128"/>
      <c r="B152" s="132" t="s">
        <v>269</v>
      </c>
      <c r="C152" s="208">
        <f>PTCA!C17+'Central Office'!C51+'Middle Campus'!C40</f>
        <v>7000</v>
      </c>
      <c r="D152" s="168">
        <f>PTCA!D17+'Central Office'!D51+'Middle Campus'!D40</f>
        <v>408.34000000000003</v>
      </c>
      <c r="E152" s="168">
        <f>PTCA!E17+'Central Office'!E51+'Middle Campus'!E40</f>
        <v>300</v>
      </c>
      <c r="F152" s="168">
        <f>PTCA!F17+'Central Office'!F51+'Middle Campus'!F40</f>
        <v>3000</v>
      </c>
      <c r="G152" s="210">
        <f t="shared" si="9"/>
        <v>-4000</v>
      </c>
      <c r="H152" s="249"/>
      <c r="I152" s="253">
        <f>PTCA!K17+'Central Office'!K51+'Middle Campus'!K40</f>
        <v>0</v>
      </c>
      <c r="J152" s="253">
        <f>PTCA!L17+'Central Office'!L51+'Middle Campus'!L40</f>
        <v>300</v>
      </c>
      <c r="K152" s="253">
        <f>PTCA!M17+'Central Office'!M51+'Middle Campus'!M40</f>
        <v>300</v>
      </c>
      <c r="L152" s="253">
        <f>PTCA!N17+'Central Office'!N51+'Middle Campus'!N40</f>
        <v>300</v>
      </c>
      <c r="M152" s="253">
        <f>PTCA!O17+'Central Office'!O51+'Middle Campus'!O40</f>
        <v>300</v>
      </c>
      <c r="N152" s="253">
        <f>PTCA!P17+'Central Office'!P51+'Middle Campus'!P40</f>
        <v>300</v>
      </c>
      <c r="O152" s="253">
        <f>PTCA!Q17+'Central Office'!Q51+'Middle Campus'!Q40</f>
        <v>300</v>
      </c>
      <c r="P152" s="253">
        <f>PTCA!R17+'Central Office'!R51+'Middle Campus'!R40</f>
        <v>300</v>
      </c>
      <c r="Q152" s="253">
        <f>PTCA!S17+'Central Office'!S51+'Middle Campus'!S40</f>
        <v>300</v>
      </c>
      <c r="R152" s="253">
        <f>PTCA!T17+'Central Office'!T51+'Middle Campus'!T40</f>
        <v>300</v>
      </c>
      <c r="S152" s="253">
        <f>PTCA!U17+'Central Office'!U51+'Middle Campus'!U40</f>
        <v>300</v>
      </c>
      <c r="T152" s="258">
        <f>PTCA!V17+'Central Office'!V51+'Middle Campus'!V40</f>
        <v>0</v>
      </c>
      <c r="U152" s="213"/>
      <c r="V152" s="214">
        <f t="shared" si="38"/>
        <v>3000</v>
      </c>
    </row>
    <row r="153" spans="1:24" ht="15.75" customHeight="1">
      <c r="A153" s="128"/>
      <c r="B153" s="132" t="s">
        <v>270</v>
      </c>
      <c r="C153" s="208">
        <f>PTCA!C18+'Mar Comm'!C13</f>
        <v>4000</v>
      </c>
      <c r="D153" s="168">
        <f>PTCA!D18+'Mar Comm'!D13</f>
        <v>43.19</v>
      </c>
      <c r="E153" s="168">
        <f>PTCA!E18+'Mar Comm'!E13</f>
        <v>0</v>
      </c>
      <c r="F153" s="168">
        <f>PTCA!F18+'Mar Comm'!F13</f>
        <v>2500</v>
      </c>
      <c r="G153" s="210">
        <f t="shared" si="9"/>
        <v>-1500</v>
      </c>
      <c r="H153" s="249"/>
      <c r="I153" s="253">
        <f>'Mar Comm'!K13</f>
        <v>0</v>
      </c>
      <c r="J153" s="253">
        <f>'Mar Comm'!L13</f>
        <v>250</v>
      </c>
      <c r="K153" s="253">
        <f>'Mar Comm'!M13</f>
        <v>250</v>
      </c>
      <c r="L153" s="253">
        <f>'Mar Comm'!N13</f>
        <v>250</v>
      </c>
      <c r="M153" s="253">
        <f>'Mar Comm'!O13</f>
        <v>250</v>
      </c>
      <c r="N153" s="253">
        <f>'Mar Comm'!P13</f>
        <v>250</v>
      </c>
      <c r="O153" s="253">
        <f>'Mar Comm'!Q13</f>
        <v>250</v>
      </c>
      <c r="P153" s="253">
        <f>'Mar Comm'!R13</f>
        <v>250</v>
      </c>
      <c r="Q153" s="253">
        <f>'Mar Comm'!S13</f>
        <v>250</v>
      </c>
      <c r="R153" s="253">
        <f>'Mar Comm'!T13</f>
        <v>250</v>
      </c>
      <c r="S153" s="253">
        <f>'Mar Comm'!U13</f>
        <v>250</v>
      </c>
      <c r="T153" s="253">
        <f>'Mar Comm'!V13</f>
        <v>0</v>
      </c>
      <c r="U153" s="213"/>
      <c r="V153" s="214">
        <f t="shared" si="38"/>
        <v>2500</v>
      </c>
    </row>
    <row r="154" spans="1:24" ht="15.75" customHeight="1">
      <c r="A154" s="128"/>
      <c r="B154" s="132" t="s">
        <v>271</v>
      </c>
      <c r="C154" s="208">
        <f>'Central Office'!C60+' MC Facilities'!C9+MACAL!C11</f>
        <v>0</v>
      </c>
      <c r="D154" s="168">
        <f>'Central Office'!D60+' MC Facilities'!D9+MACAL!D11</f>
        <v>9418</v>
      </c>
      <c r="E154" s="168">
        <f>'Central Office'!E60+' MC Facilities'!E9+MACAL!E11</f>
        <v>13500</v>
      </c>
      <c r="F154" s="168">
        <f>'Central Office'!F60+' MC Facilities'!F9</f>
        <v>20000</v>
      </c>
      <c r="G154" s="210">
        <f t="shared" si="9"/>
        <v>20000</v>
      </c>
      <c r="H154" s="249"/>
      <c r="I154" s="256">
        <f>'Central Office'!K60+' MC Facilities'!K9</f>
        <v>0</v>
      </c>
      <c r="J154" s="256">
        <f>'Central Office'!L60+' MC Facilities'!L9</f>
        <v>2000</v>
      </c>
      <c r="K154" s="256">
        <f>'Central Office'!M60+' MC Facilities'!M9</f>
        <v>2000</v>
      </c>
      <c r="L154" s="256">
        <f>'Central Office'!N60+' MC Facilities'!N9</f>
        <v>2000</v>
      </c>
      <c r="M154" s="256">
        <f>'Central Office'!O60+' MC Facilities'!O9</f>
        <v>2000</v>
      </c>
      <c r="N154" s="256">
        <f>'Central Office'!P60+' MC Facilities'!P9</f>
        <v>2000</v>
      </c>
      <c r="O154" s="256">
        <f>'Central Office'!Q60+' MC Facilities'!Q9</f>
        <v>2000</v>
      </c>
      <c r="P154" s="256">
        <f>'Central Office'!R60+' MC Facilities'!R9</f>
        <v>2000</v>
      </c>
      <c r="Q154" s="256">
        <f>'Central Office'!S60+' MC Facilities'!S9</f>
        <v>2000</v>
      </c>
      <c r="R154" s="256">
        <f>'Central Office'!T60+' MC Facilities'!T9</f>
        <v>2000</v>
      </c>
      <c r="S154" s="256">
        <f>'Central Office'!U60+' MC Facilities'!U9</f>
        <v>2000</v>
      </c>
      <c r="T154" s="256">
        <f>'Central Office'!V60+' MC Facilities'!V9</f>
        <v>0</v>
      </c>
      <c r="U154" s="261"/>
      <c r="V154" s="214">
        <f t="shared" si="38"/>
        <v>20000</v>
      </c>
    </row>
    <row r="155" spans="1:24" ht="15.75" customHeight="1">
      <c r="A155" s="128"/>
      <c r="B155" s="132" t="s">
        <v>272</v>
      </c>
      <c r="C155" s="208">
        <f>'Central Office'!C49+PTCA!C14+'Middle Campus'!C43+Diversity!C12+'Elem Campus'!C35+'EC Facilities'!C35</f>
        <v>33500</v>
      </c>
      <c r="D155" s="168">
        <f>'Central Office'!D49+PTCA!D14+'Middle Campus'!D43+Diversity!D12+'Elem Campus'!D35+'EC Facilities'!D35</f>
        <v>20018.59</v>
      </c>
      <c r="E155" s="168">
        <f>'Central Office'!E49+PTCA!E14+'Middle Campus'!E43+Diversity!E12+'Elem Campus'!E35+'EC Facilities'!E35</f>
        <v>12355</v>
      </c>
      <c r="F155" s="168">
        <f>'Central Office'!F49+PTCA!F14+'Middle Campus'!F43+Diversity!F12+'Elem Campus'!F35+'EC Facilities'!F35+'Exec Director'!F12</f>
        <v>34500</v>
      </c>
      <c r="G155" s="210">
        <f t="shared" si="9"/>
        <v>1000</v>
      </c>
      <c r="H155" s="249"/>
      <c r="I155" s="253">
        <f>'Central Office'!K49+PTCA!K14+'Middle Campus'!K43+Diversity!K12+'Elem Campus'!K35+'EC Facilities'!K35+'Exec Director'!K12</f>
        <v>3000</v>
      </c>
      <c r="J155" s="253">
        <f>'Central Office'!L49+PTCA!L14+'Middle Campus'!L43+Diversity!L12+'Elem Campus'!L35+'EC Facilities'!L35+'Exec Director'!L12</f>
        <v>50</v>
      </c>
      <c r="K155" s="253">
        <f>'Central Office'!M49+PTCA!M14+'Middle Campus'!M43+Diversity!M12+'Elem Campus'!M35+'EC Facilities'!M35+'Exec Director'!M12</f>
        <v>50</v>
      </c>
      <c r="L155" s="253">
        <f>'Central Office'!N49+PTCA!N14+'Middle Campus'!N43+Diversity!N12+'Elem Campus'!N35+'EC Facilities'!N35+'Exec Director'!N12</f>
        <v>50</v>
      </c>
      <c r="M155" s="253">
        <f>'Central Office'!O49+PTCA!O14+'Middle Campus'!O43+Diversity!O12+'Elem Campus'!O35+'EC Facilities'!O35+'Exec Director'!O12</f>
        <v>5050</v>
      </c>
      <c r="N155" s="253">
        <f>'Central Office'!P49+PTCA!P14+'Middle Campus'!P43+Diversity!P12+'Elem Campus'!P35+'EC Facilities'!P35+'Exec Director'!P12</f>
        <v>16050</v>
      </c>
      <c r="O155" s="253">
        <f>'Central Office'!Q49+PTCA!Q14+'Middle Campus'!Q43+Diversity!Q12+'Elem Campus'!Q35+'EC Facilities'!Q35+'Exec Director'!Q12</f>
        <v>50</v>
      </c>
      <c r="P155" s="253">
        <f>'Central Office'!R49+PTCA!R14+'Middle Campus'!R43+Diversity!R12+'Elem Campus'!R35+'EC Facilities'!R35+'Exec Director'!R12</f>
        <v>50</v>
      </c>
      <c r="Q155" s="253">
        <f>'Central Office'!S49+PTCA!S14+'Middle Campus'!S43+Diversity!S12+'Elem Campus'!S35+'EC Facilities'!S35+'Exec Director'!S12</f>
        <v>7050</v>
      </c>
      <c r="R155" s="253">
        <f>'Central Office'!T49+PTCA!T14+'Middle Campus'!T43+Diversity!T12+'Elem Campus'!T35+'EC Facilities'!T35+'Exec Director'!T12</f>
        <v>2050</v>
      </c>
      <c r="S155" s="253">
        <f>'Central Office'!U49+PTCA!U14+'Middle Campus'!U43+Diversity!U12+'Elem Campus'!U35+'EC Facilities'!U35+'Exec Director'!U12</f>
        <v>1050</v>
      </c>
      <c r="T155" s="253">
        <f>'Central Office'!V49+PTCA!V14+'Middle Campus'!V43+Diversity!V12+'Elem Campus'!V35+'EC Facilities'!V35+'Exec Director'!V12</f>
        <v>0</v>
      </c>
      <c r="U155" s="213"/>
      <c r="V155" s="214">
        <f t="shared" si="38"/>
        <v>34500</v>
      </c>
    </row>
    <row r="156" spans="1:24" ht="15.75" customHeight="1">
      <c r="A156" s="128"/>
      <c r="B156" s="207" t="s">
        <v>273</v>
      </c>
      <c r="C156" s="208">
        <f>PTCA!C15</f>
        <v>0</v>
      </c>
      <c r="D156" s="168">
        <f>PTCA!D15</f>
        <v>6197.66</v>
      </c>
      <c r="E156" s="168">
        <f>PTCA!E15</f>
        <v>0</v>
      </c>
      <c r="F156" s="168">
        <f>PTCA!F15</f>
        <v>0</v>
      </c>
      <c r="G156" s="210">
        <f t="shared" si="9"/>
        <v>0</v>
      </c>
      <c r="H156" s="249"/>
      <c r="I156" s="253">
        <f>PTCA!K15</f>
        <v>0</v>
      </c>
      <c r="J156" s="253">
        <f>PTCA!L15</f>
        <v>0</v>
      </c>
      <c r="K156" s="253">
        <f>PTCA!M15</f>
        <v>0</v>
      </c>
      <c r="L156" s="253">
        <f>PTCA!N15</f>
        <v>0</v>
      </c>
      <c r="M156" s="253">
        <f>PTCA!O15</f>
        <v>0</v>
      </c>
      <c r="N156" s="253">
        <f>PTCA!P15</f>
        <v>0</v>
      </c>
      <c r="O156" s="253">
        <f>PTCA!Q15</f>
        <v>0</v>
      </c>
      <c r="P156" s="253">
        <f>PTCA!R15</f>
        <v>0</v>
      </c>
      <c r="Q156" s="253">
        <f>PTCA!S15</f>
        <v>0</v>
      </c>
      <c r="R156" s="253">
        <f>PTCA!T15</f>
        <v>0</v>
      </c>
      <c r="S156" s="253">
        <f>PTCA!U15</f>
        <v>0</v>
      </c>
      <c r="T156" s="258">
        <f>PTCA!V15</f>
        <v>0</v>
      </c>
      <c r="U156" s="213"/>
      <c r="V156" s="214">
        <f t="shared" si="38"/>
        <v>0</v>
      </c>
    </row>
    <row r="157" spans="1:24" ht="15.75" customHeight="1">
      <c r="A157" s="128"/>
      <c r="B157" s="132" t="s">
        <v>274</v>
      </c>
      <c r="C157" s="166">
        <f>'Central Office'!C54</f>
        <v>5000</v>
      </c>
      <c r="D157" s="168">
        <f>'Central Office'!D54</f>
        <v>2316</v>
      </c>
      <c r="E157" s="168">
        <f>'Central Office'!E54</f>
        <v>2316</v>
      </c>
      <c r="F157" s="168">
        <f>'Central Office'!F54</f>
        <v>5000</v>
      </c>
      <c r="G157" s="210">
        <f t="shared" si="9"/>
        <v>0</v>
      </c>
      <c r="H157" s="249"/>
      <c r="I157" s="251">
        <f>'Central Office'!K54</f>
        <v>416</v>
      </c>
      <c r="J157" s="251">
        <f>'Central Office'!L54</f>
        <v>416</v>
      </c>
      <c r="K157" s="251">
        <f>'Central Office'!M54</f>
        <v>416</v>
      </c>
      <c r="L157" s="251">
        <f>'Central Office'!N54</f>
        <v>416</v>
      </c>
      <c r="M157" s="251">
        <f>'Central Office'!O54</f>
        <v>416</v>
      </c>
      <c r="N157" s="251">
        <f>'Central Office'!P54</f>
        <v>416</v>
      </c>
      <c r="O157" s="251">
        <f>'Central Office'!Q54</f>
        <v>416</v>
      </c>
      <c r="P157" s="251">
        <f>'Central Office'!R54</f>
        <v>416</v>
      </c>
      <c r="Q157" s="251">
        <f>'Central Office'!S54</f>
        <v>416</v>
      </c>
      <c r="R157" s="251">
        <f>'Central Office'!T54</f>
        <v>416</v>
      </c>
      <c r="S157" s="251">
        <f>'Central Office'!U54</f>
        <v>416</v>
      </c>
      <c r="T157" s="251">
        <f>'Central Office'!V54</f>
        <v>424</v>
      </c>
      <c r="U157" s="213"/>
      <c r="V157" s="214">
        <f t="shared" si="38"/>
        <v>5000</v>
      </c>
      <c r="W157" s="227"/>
      <c r="X157" s="227"/>
    </row>
    <row r="158" spans="1:24" ht="15.75" customHeight="1">
      <c r="A158" s="129"/>
      <c r="B158" s="132" t="s">
        <v>275</v>
      </c>
      <c r="C158" s="166">
        <f>'Central Office'!C48+'Middle Campus'!C42+'Mar Comm'!C14+PTCA!C16+'Elem Campus'!C36+Diversity!C10+Security!C10+'ESS &amp; Student Support'!C14</f>
        <v>47300</v>
      </c>
      <c r="D158" s="167">
        <f>'Central Office'!D48+'Middle Campus'!D42+'Mar Comm'!D14+PTCA!D16+'Elem Campus'!D36+Diversity!D10+Security!D10+'ESS &amp; Student Support'!D14</f>
        <v>18791.739999999998</v>
      </c>
      <c r="E158" s="167">
        <f>'Central Office'!E48+'Middle Campus'!E42+'Mar Comm'!E14+PTCA!E16+'Elem Campus'!E36+Diversity!E10+Security!E10+'ESS &amp; Student Support'!E14</f>
        <v>21980</v>
      </c>
      <c r="F158" s="167">
        <f>'Central Office'!F48+'Middle Campus'!F42+'Mar Comm'!F14+PTCA!F16+'Elem Campus'!F36+Diversity!F10+Security!F10+'ESS &amp; Student Support'!F14</f>
        <v>49000</v>
      </c>
      <c r="G158" s="210">
        <f t="shared" si="9"/>
        <v>1700</v>
      </c>
      <c r="H158" s="249"/>
      <c r="I158" s="214">
        <f>'Central Office'!K48+'Middle Campus'!K42+'Mar Comm'!K14+PTCA!K16+'Elem Campus'!K36+Diversity!K10+Security!K10+'ESS &amp; Student Support'!K14</f>
        <v>2510</v>
      </c>
      <c r="J158" s="214">
        <f>'Central Office'!L48+'Middle Campus'!L42+'Mar Comm'!L14+PTCA!L16+'Elem Campus'!L36+Diversity!L10+Security!L10+'ESS &amp; Student Support'!L14</f>
        <v>9659</v>
      </c>
      <c r="K158" s="214">
        <f>'Central Office'!M48+'Middle Campus'!M42+'Mar Comm'!M14+PTCA!M16+'Elem Campus'!M36+Diversity!M10+Security!M10+'ESS &amp; Student Support'!M14</f>
        <v>2859</v>
      </c>
      <c r="L158" s="214">
        <f>'Central Office'!N48+'Middle Campus'!N42+'Mar Comm'!N14+PTCA!N16+'Elem Campus'!N36+Diversity!N10+Security!N10+'ESS &amp; Student Support'!N14</f>
        <v>4759</v>
      </c>
      <c r="M158" s="214">
        <f>'Central Office'!O48+'Middle Campus'!O42+'Mar Comm'!O14+PTCA!O16+'Elem Campus'!O36+Diversity!O10+Security!O10+'ESS &amp; Student Support'!O14</f>
        <v>3059</v>
      </c>
      <c r="N158" s="214">
        <f>'Central Office'!P48+'Middle Campus'!P42+'Mar Comm'!P14+PTCA!P16+'Elem Campus'!P36+Diversity!P10+Security!P10+'ESS &amp; Student Support'!P14</f>
        <v>2759</v>
      </c>
      <c r="O158" s="214">
        <f>'Central Office'!Q48+'Middle Campus'!Q42+'Mar Comm'!Q14+PTCA!Q16+'Elem Campus'!Q36+Diversity!Q10+Security!Q10+'ESS &amp; Student Support'!Q14</f>
        <v>8459</v>
      </c>
      <c r="P158" s="214">
        <f>'Central Office'!R48+'Middle Campus'!R42+'Mar Comm'!R14+PTCA!R16+'Elem Campus'!R36+Diversity!R10+Security!R10+'ESS &amp; Student Support'!R14</f>
        <v>2759</v>
      </c>
      <c r="Q158" s="214">
        <f>'Central Office'!S48+'Middle Campus'!S42+'Mar Comm'!S14+PTCA!S16+'Elem Campus'!S36+Diversity!S10+Security!S10+'ESS &amp; Student Support'!S14</f>
        <v>3059</v>
      </c>
      <c r="R158" s="214">
        <f>'Central Office'!T48+'Middle Campus'!T42+'Mar Comm'!T14+PTCA!T16+'Elem Campus'!T36+Diversity!T10+Security!T10+'ESS &amp; Student Support'!T14</f>
        <v>4359</v>
      </c>
      <c r="S158" s="214">
        <f>'Central Office'!U48+'Middle Campus'!U42+'Mar Comm'!U14+PTCA!U16+'Elem Campus'!U36+Diversity!U10+Security!U10+'ESS &amp; Student Support'!U14</f>
        <v>2759</v>
      </c>
      <c r="T158" s="214">
        <f>'Central Office'!V48+'Middle Campus'!V42+'Mar Comm'!V14+PTCA!V16+'Elem Campus'!V36+Diversity!V10+Security!V10+'ESS &amp; Student Support'!V14</f>
        <v>2000</v>
      </c>
      <c r="U158" s="213"/>
      <c r="V158" s="214">
        <f t="shared" si="38"/>
        <v>49000</v>
      </c>
    </row>
    <row r="159" spans="1:24" ht="15.75" customHeight="1">
      <c r="A159" s="129"/>
      <c r="B159" s="132" t="s">
        <v>276</v>
      </c>
      <c r="C159" s="166">
        <v>0</v>
      </c>
      <c r="D159" s="214">
        <v>0</v>
      </c>
      <c r="E159" s="167">
        <v>0</v>
      </c>
      <c r="F159" s="167">
        <f>'School Services'!F13</f>
        <v>5000</v>
      </c>
      <c r="G159" s="210">
        <f t="shared" si="9"/>
        <v>5000</v>
      </c>
      <c r="H159" s="211"/>
      <c r="I159" s="212">
        <f>'School Services'!K13</f>
        <v>0</v>
      </c>
      <c r="J159" s="212">
        <f>'School Services'!L13</f>
        <v>500</v>
      </c>
      <c r="K159" s="212">
        <f>'School Services'!M13</f>
        <v>500</v>
      </c>
      <c r="L159" s="212">
        <f>'School Services'!N13</f>
        <v>500</v>
      </c>
      <c r="M159" s="212">
        <f>'School Services'!O13</f>
        <v>500</v>
      </c>
      <c r="N159" s="212">
        <f>'School Services'!P13</f>
        <v>500</v>
      </c>
      <c r="O159" s="212">
        <f>'School Services'!Q13</f>
        <v>500</v>
      </c>
      <c r="P159" s="212">
        <f>'School Services'!R13</f>
        <v>500</v>
      </c>
      <c r="Q159" s="212">
        <f>'School Services'!S13</f>
        <v>500</v>
      </c>
      <c r="R159" s="212">
        <f>'School Services'!T13</f>
        <v>500</v>
      </c>
      <c r="S159" s="212">
        <f>'School Services'!U13</f>
        <v>500</v>
      </c>
      <c r="T159" s="212">
        <f>'School Services'!V13</f>
        <v>0</v>
      </c>
      <c r="U159" s="235"/>
      <c r="V159" s="214">
        <f t="shared" si="38"/>
        <v>5000</v>
      </c>
    </row>
    <row r="160" spans="1:24" ht="15.75" customHeight="1">
      <c r="A160" s="129"/>
      <c r="B160" s="132" t="s">
        <v>277</v>
      </c>
      <c r="C160" s="166">
        <f>'Central Office'!C55</f>
        <v>0</v>
      </c>
      <c r="D160" s="214">
        <f>'Central Office'!D55</f>
        <v>-11980.71</v>
      </c>
      <c r="E160" s="167">
        <f>'Central Office'!E55</f>
        <v>0</v>
      </c>
      <c r="F160" s="167">
        <f>'Central Office'!F55</f>
        <v>0</v>
      </c>
      <c r="G160" s="210">
        <f t="shared" si="9"/>
        <v>0</v>
      </c>
      <c r="H160" s="211"/>
      <c r="I160" s="212">
        <f>'Central Office'!K55</f>
        <v>0</v>
      </c>
      <c r="J160" s="212">
        <f>'Central Office'!L55</f>
        <v>0</v>
      </c>
      <c r="K160" s="212">
        <f>'Central Office'!M55</f>
        <v>0</v>
      </c>
      <c r="L160" s="212">
        <f>'Central Office'!N55</f>
        <v>0</v>
      </c>
      <c r="M160" s="212">
        <f>'Central Office'!O55</f>
        <v>0</v>
      </c>
      <c r="N160" s="212">
        <f>'Central Office'!P55</f>
        <v>0</v>
      </c>
      <c r="O160" s="212">
        <f>'Central Office'!Q55</f>
        <v>0</v>
      </c>
      <c r="P160" s="212">
        <f>'Central Office'!R55</f>
        <v>0</v>
      </c>
      <c r="Q160" s="212">
        <f>'Central Office'!S55</f>
        <v>0</v>
      </c>
      <c r="R160" s="212">
        <f>'Central Office'!T55</f>
        <v>0</v>
      </c>
      <c r="S160" s="212">
        <f>'Central Office'!U55</f>
        <v>0</v>
      </c>
      <c r="T160" s="212">
        <f>'Central Office'!V55</f>
        <v>0</v>
      </c>
      <c r="U160" s="235"/>
      <c r="V160" s="214">
        <f t="shared" si="38"/>
        <v>0</v>
      </c>
    </row>
    <row r="161" spans="1:24" ht="15.75" customHeight="1">
      <c r="A161" s="128"/>
      <c r="B161" s="185" t="s">
        <v>278</v>
      </c>
      <c r="C161" s="216">
        <f>'Gather &amp; Grow'!C11</f>
        <v>31000</v>
      </c>
      <c r="D161" s="225">
        <f>'Gather &amp; Grow'!D11</f>
        <v>7624.4</v>
      </c>
      <c r="E161" s="225">
        <f>'Gather &amp; Grow'!E11</f>
        <v>20100</v>
      </c>
      <c r="F161" s="225">
        <f>'Gather &amp; Grow'!F11</f>
        <v>31000</v>
      </c>
      <c r="G161" s="224">
        <f t="shared" si="9"/>
        <v>0</v>
      </c>
      <c r="H161" s="219"/>
      <c r="I161" s="225">
        <f>'Gather &amp; Grow'!K11</f>
        <v>0</v>
      </c>
      <c r="J161" s="225">
        <f>'Gather &amp; Grow'!L11</f>
        <v>4000</v>
      </c>
      <c r="K161" s="225">
        <f>'Gather &amp; Grow'!M11</f>
        <v>8000</v>
      </c>
      <c r="L161" s="225">
        <f>'Gather &amp; Grow'!N11</f>
        <v>1000</v>
      </c>
      <c r="M161" s="225">
        <f>'Gather &amp; Grow'!O11</f>
        <v>0</v>
      </c>
      <c r="N161" s="225">
        <f>'Gather &amp; Grow'!P11</f>
        <v>0</v>
      </c>
      <c r="O161" s="225">
        <f>'Gather &amp; Grow'!Q11</f>
        <v>5000</v>
      </c>
      <c r="P161" s="225">
        <f>'Gather &amp; Grow'!R11</f>
        <v>5000</v>
      </c>
      <c r="Q161" s="225">
        <f>'Gather &amp; Grow'!S11</f>
        <v>5000</v>
      </c>
      <c r="R161" s="225">
        <f>'Gather &amp; Grow'!T11</f>
        <v>0</v>
      </c>
      <c r="S161" s="225">
        <f>'Gather &amp; Grow'!U11</f>
        <v>0</v>
      </c>
      <c r="T161" s="225">
        <f>'Gather &amp; Grow'!V11</f>
        <v>3000</v>
      </c>
      <c r="U161" s="213"/>
      <c r="V161" s="226">
        <f t="shared" si="38"/>
        <v>31000</v>
      </c>
      <c r="W161" s="227"/>
      <c r="X161" s="227"/>
    </row>
    <row r="162" spans="1:24" ht="15.75" customHeight="1">
      <c r="A162" s="128"/>
      <c r="B162" s="185" t="s">
        <v>279</v>
      </c>
      <c r="C162" s="216">
        <f t="shared" ref="C162:F162" si="39">C163+C166+C167+C168</f>
        <v>175000</v>
      </c>
      <c r="D162" s="204">
        <f t="shared" si="39"/>
        <v>57373.58</v>
      </c>
      <c r="E162" s="204">
        <f t="shared" si="39"/>
        <v>122780</v>
      </c>
      <c r="F162" s="247">
        <f t="shared" si="39"/>
        <v>178660</v>
      </c>
      <c r="G162" s="224">
        <f t="shared" si="9"/>
        <v>3660</v>
      </c>
      <c r="H162" s="219"/>
      <c r="I162" s="225">
        <f t="shared" ref="I162:T162" si="40">I163+I166+I167+I168</f>
        <v>8596.6666666666679</v>
      </c>
      <c r="J162" s="225">
        <f t="shared" si="40"/>
        <v>10096.666666666668</v>
      </c>
      <c r="K162" s="225">
        <f t="shared" si="40"/>
        <v>7896.666666666667</v>
      </c>
      <c r="L162" s="225">
        <f t="shared" si="40"/>
        <v>7896.666666666667</v>
      </c>
      <c r="M162" s="225">
        <f t="shared" si="40"/>
        <v>7896.666666666667</v>
      </c>
      <c r="N162" s="225">
        <f t="shared" si="40"/>
        <v>7896.666666666667</v>
      </c>
      <c r="O162" s="225">
        <f t="shared" si="40"/>
        <v>8896.6666666666679</v>
      </c>
      <c r="P162" s="225">
        <f t="shared" si="40"/>
        <v>7896.666666666667</v>
      </c>
      <c r="Q162" s="225">
        <f t="shared" si="40"/>
        <v>87896.666666666672</v>
      </c>
      <c r="R162" s="225">
        <f t="shared" si="40"/>
        <v>7896.666666666667</v>
      </c>
      <c r="S162" s="225">
        <f t="shared" si="40"/>
        <v>7896.666666666667</v>
      </c>
      <c r="T162" s="225">
        <f t="shared" si="40"/>
        <v>7896.666666666667</v>
      </c>
      <c r="U162" s="213"/>
      <c r="V162" s="225">
        <f>V163+V166+V167+V168</f>
        <v>178660</v>
      </c>
      <c r="W162" s="227"/>
      <c r="X162" s="227"/>
    </row>
    <row r="163" spans="1:24" ht="15.75" customHeight="1">
      <c r="A163" s="129"/>
      <c r="B163" s="207" t="s">
        <v>227</v>
      </c>
      <c r="C163" s="208">
        <f t="shared" ref="C163:F163" si="41">SUM(C164:C165)</f>
        <v>45000</v>
      </c>
      <c r="D163" s="262">
        <f t="shared" si="41"/>
        <v>28111.27</v>
      </c>
      <c r="E163" s="262">
        <f t="shared" si="41"/>
        <v>27780</v>
      </c>
      <c r="F163" s="262">
        <f t="shared" si="41"/>
        <v>55560</v>
      </c>
      <c r="G163" s="218">
        <f t="shared" si="9"/>
        <v>10560</v>
      </c>
      <c r="H163" s="211"/>
      <c r="I163" s="242">
        <f t="shared" ref="I163:T163" si="42">SUM(I164:I165)</f>
        <v>4630</v>
      </c>
      <c r="J163" s="242">
        <f t="shared" si="42"/>
        <v>4630</v>
      </c>
      <c r="K163" s="242">
        <f t="shared" si="42"/>
        <v>4630</v>
      </c>
      <c r="L163" s="242">
        <f t="shared" si="42"/>
        <v>4630</v>
      </c>
      <c r="M163" s="242">
        <f t="shared" si="42"/>
        <v>4630</v>
      </c>
      <c r="N163" s="242">
        <f t="shared" si="42"/>
        <v>4630</v>
      </c>
      <c r="O163" s="242">
        <f t="shared" si="42"/>
        <v>4630</v>
      </c>
      <c r="P163" s="242">
        <f t="shared" si="42"/>
        <v>4630</v>
      </c>
      <c r="Q163" s="242">
        <f t="shared" si="42"/>
        <v>4630</v>
      </c>
      <c r="R163" s="242">
        <f t="shared" si="42"/>
        <v>4630</v>
      </c>
      <c r="S163" s="242">
        <f t="shared" si="42"/>
        <v>4630</v>
      </c>
      <c r="T163" s="242">
        <f t="shared" si="42"/>
        <v>4630</v>
      </c>
      <c r="U163" s="235"/>
      <c r="V163" s="244">
        <f t="shared" ref="V163:V167" si="43">SUM(I163:T163)</f>
        <v>55560</v>
      </c>
      <c r="W163" s="263"/>
      <c r="X163" s="263"/>
    </row>
    <row r="164" spans="1:24" ht="15.75" customHeight="1">
      <c r="A164" s="129"/>
      <c r="B164" s="207" t="s">
        <v>280</v>
      </c>
      <c r="C164" s="208">
        <f>'Central Office'!C57</f>
        <v>20000</v>
      </c>
      <c r="D164" s="264">
        <f>'Central Office'!D57</f>
        <v>10200</v>
      </c>
      <c r="E164" s="264">
        <f>'Central Office'!E57</f>
        <v>10200</v>
      </c>
      <c r="F164" s="264">
        <f>'Central Office'!F57</f>
        <v>20400</v>
      </c>
      <c r="G164" s="210">
        <f t="shared" si="9"/>
        <v>400</v>
      </c>
      <c r="H164" s="211"/>
      <c r="I164" s="212">
        <f>'Central Office'!K57</f>
        <v>1700</v>
      </c>
      <c r="J164" s="212">
        <f>'Central Office'!L57</f>
        <v>1700</v>
      </c>
      <c r="K164" s="212">
        <f>'Central Office'!M57</f>
        <v>1700</v>
      </c>
      <c r="L164" s="212">
        <f>'Central Office'!N57</f>
        <v>1700</v>
      </c>
      <c r="M164" s="212">
        <f>'Central Office'!O57</f>
        <v>1700</v>
      </c>
      <c r="N164" s="212">
        <f>'Central Office'!P57</f>
        <v>1700</v>
      </c>
      <c r="O164" s="212">
        <f>'Central Office'!Q57</f>
        <v>1700</v>
      </c>
      <c r="P164" s="212">
        <f>'Central Office'!R57</f>
        <v>1700</v>
      </c>
      <c r="Q164" s="212">
        <f>'Central Office'!S57</f>
        <v>1700</v>
      </c>
      <c r="R164" s="212">
        <f>'Central Office'!T57</f>
        <v>1700</v>
      </c>
      <c r="S164" s="212">
        <f>'Central Office'!U57</f>
        <v>1700</v>
      </c>
      <c r="T164" s="212">
        <f>'Central Office'!V57</f>
        <v>1700</v>
      </c>
      <c r="U164" s="235"/>
      <c r="V164" s="214">
        <f t="shared" si="43"/>
        <v>20400</v>
      </c>
      <c r="W164" s="263"/>
      <c r="X164" s="263"/>
    </row>
    <row r="165" spans="1:24" ht="15.75" customHeight="1">
      <c r="A165" s="129"/>
      <c r="B165" s="207" t="s">
        <v>281</v>
      </c>
      <c r="C165" s="208">
        <f>'Central Office'!C58</f>
        <v>25000</v>
      </c>
      <c r="D165" s="264">
        <f>'Central Office'!D58</f>
        <v>17911.27</v>
      </c>
      <c r="E165" s="264">
        <f>'Central Office'!E58</f>
        <v>17580</v>
      </c>
      <c r="F165" s="264">
        <f>'Central Office'!F58</f>
        <v>35160</v>
      </c>
      <c r="G165" s="210">
        <f t="shared" si="9"/>
        <v>10160</v>
      </c>
      <c r="H165" s="211"/>
      <c r="I165" s="212">
        <f>'Central Office'!K58</f>
        <v>2930</v>
      </c>
      <c r="J165" s="212">
        <f>'Central Office'!L58</f>
        <v>2930</v>
      </c>
      <c r="K165" s="212">
        <f>'Central Office'!M58</f>
        <v>2930</v>
      </c>
      <c r="L165" s="212">
        <f>'Central Office'!N58</f>
        <v>2930</v>
      </c>
      <c r="M165" s="212">
        <f>'Central Office'!O58</f>
        <v>2930</v>
      </c>
      <c r="N165" s="212">
        <f>'Central Office'!P58</f>
        <v>2930</v>
      </c>
      <c r="O165" s="212">
        <f>'Central Office'!Q58</f>
        <v>2930</v>
      </c>
      <c r="P165" s="212">
        <f>'Central Office'!R58</f>
        <v>2930</v>
      </c>
      <c r="Q165" s="212">
        <f>'Central Office'!S58</f>
        <v>2930</v>
      </c>
      <c r="R165" s="212">
        <f>'Central Office'!T58</f>
        <v>2930</v>
      </c>
      <c r="S165" s="212">
        <f>'Central Office'!U58</f>
        <v>2930</v>
      </c>
      <c r="T165" s="212">
        <f>'Central Office'!V58</f>
        <v>2930</v>
      </c>
      <c r="U165" s="235"/>
      <c r="V165" s="214">
        <f t="shared" si="43"/>
        <v>35160</v>
      </c>
      <c r="W165" s="263"/>
      <c r="X165" s="263"/>
    </row>
    <row r="166" spans="1:24" ht="15.75" customHeight="1">
      <c r="A166" s="129"/>
      <c r="B166" s="207" t="s">
        <v>282</v>
      </c>
      <c r="C166" s="208">
        <f>'Middle Campus'!C46+'Central Office'!C59</f>
        <v>5000</v>
      </c>
      <c r="D166" s="264">
        <f>'Middle Campus'!D46+'Central Office'!D59</f>
        <v>2199.7199999999998</v>
      </c>
      <c r="E166" s="264">
        <f>'Middle Campus'!E46+'Central Office'!E59</f>
        <v>2200</v>
      </c>
      <c r="F166" s="264">
        <f>'Middle Campus'!F46+'Central Office'!F59</f>
        <v>5000</v>
      </c>
      <c r="G166" s="210">
        <f t="shared" si="9"/>
        <v>0</v>
      </c>
      <c r="H166" s="211"/>
      <c r="I166" s="212">
        <f>'Middle Campus'!K46+'Central Office'!K59</f>
        <v>1000</v>
      </c>
      <c r="J166" s="212">
        <f>'Middle Campus'!L46+'Central Office'!L59</f>
        <v>1000</v>
      </c>
      <c r="K166" s="212">
        <f>'Middle Campus'!M46+'Central Office'!M59</f>
        <v>300</v>
      </c>
      <c r="L166" s="212">
        <f>'Middle Campus'!N46+'Central Office'!N59</f>
        <v>300</v>
      </c>
      <c r="M166" s="212">
        <f>'Middle Campus'!O46+'Central Office'!O59</f>
        <v>300</v>
      </c>
      <c r="N166" s="212">
        <f>'Middle Campus'!P46+'Central Office'!P59</f>
        <v>300</v>
      </c>
      <c r="O166" s="212">
        <f>'Middle Campus'!Q46+'Central Office'!Q59</f>
        <v>300</v>
      </c>
      <c r="P166" s="212">
        <f>'Middle Campus'!R46+'Central Office'!R59</f>
        <v>300</v>
      </c>
      <c r="Q166" s="212">
        <f>'Middle Campus'!S46+'Central Office'!S59</f>
        <v>300</v>
      </c>
      <c r="R166" s="212">
        <f>'Middle Campus'!T46+'Central Office'!T59</f>
        <v>300</v>
      </c>
      <c r="S166" s="212">
        <f>'Middle Campus'!U46+'Central Office'!U59</f>
        <v>300</v>
      </c>
      <c r="T166" s="212">
        <f>'Middle Campus'!V46+'Central Office'!V59</f>
        <v>300</v>
      </c>
      <c r="U166" s="235"/>
      <c r="V166" s="214">
        <f t="shared" si="43"/>
        <v>5000</v>
      </c>
      <c r="W166" s="263"/>
      <c r="X166" s="263"/>
    </row>
    <row r="167" spans="1:24" ht="15.75" customHeight="1">
      <c r="A167" s="129"/>
      <c r="B167" s="207" t="s">
        <v>283</v>
      </c>
      <c r="C167" s="208">
        <f>'ESS &amp; Student Support'!C19</f>
        <v>5000</v>
      </c>
      <c r="D167" s="264">
        <f>'ESS &amp; Student Support'!D19</f>
        <v>0</v>
      </c>
      <c r="E167" s="264">
        <f>'ESS &amp; Student Support'!E19</f>
        <v>0</v>
      </c>
      <c r="F167" s="264">
        <f>'ESS &amp; Student Support'!F19</f>
        <v>2500</v>
      </c>
      <c r="G167" s="210">
        <f t="shared" si="9"/>
        <v>-2500</v>
      </c>
      <c r="H167" s="211"/>
      <c r="I167" s="212">
        <f>'ESS &amp; Student Support'!K19</f>
        <v>0</v>
      </c>
      <c r="J167" s="212">
        <f>'ESS &amp; Student Support'!L19</f>
        <v>1500</v>
      </c>
      <c r="K167" s="212">
        <f>'ESS &amp; Student Support'!M19</f>
        <v>0</v>
      </c>
      <c r="L167" s="212">
        <f>'ESS &amp; Student Support'!N19</f>
        <v>0</v>
      </c>
      <c r="M167" s="212">
        <f>'ESS &amp; Student Support'!O19</f>
        <v>0</v>
      </c>
      <c r="N167" s="212">
        <f>'ESS &amp; Student Support'!P19</f>
        <v>0</v>
      </c>
      <c r="O167" s="212">
        <f>'ESS &amp; Student Support'!Q19</f>
        <v>1000</v>
      </c>
      <c r="P167" s="212">
        <f>'ESS &amp; Student Support'!R19</f>
        <v>0</v>
      </c>
      <c r="Q167" s="212">
        <f>'ESS &amp; Student Support'!S19</f>
        <v>0</v>
      </c>
      <c r="R167" s="212">
        <f>'ESS &amp; Student Support'!T19</f>
        <v>0</v>
      </c>
      <c r="S167" s="212">
        <f>'ESS &amp; Student Support'!U19</f>
        <v>0</v>
      </c>
      <c r="T167" s="212">
        <f>'ESS &amp; Student Support'!V19</f>
        <v>0</v>
      </c>
      <c r="U167" s="235"/>
      <c r="V167" s="214">
        <f t="shared" si="43"/>
        <v>2500</v>
      </c>
      <c r="W167" s="263"/>
      <c r="X167" s="263"/>
    </row>
    <row r="168" spans="1:24" ht="15.75" customHeight="1">
      <c r="A168" s="129"/>
      <c r="B168" s="207" t="s">
        <v>284</v>
      </c>
      <c r="C168" s="208">
        <f t="shared" ref="C168:F168" si="44">SUM(C169:C172)</f>
        <v>120000</v>
      </c>
      <c r="D168" s="262">
        <f t="shared" si="44"/>
        <v>27062.59</v>
      </c>
      <c r="E168" s="262">
        <f t="shared" si="44"/>
        <v>92800</v>
      </c>
      <c r="F168" s="262">
        <f t="shared" si="44"/>
        <v>115600</v>
      </c>
      <c r="G168" s="218">
        <f t="shared" si="9"/>
        <v>-4400</v>
      </c>
      <c r="H168" s="211"/>
      <c r="I168" s="242">
        <f t="shared" ref="I168:T168" si="45">SUM(I169:I172)</f>
        <v>2966.666666666667</v>
      </c>
      <c r="J168" s="242">
        <f t="shared" si="45"/>
        <v>2966.666666666667</v>
      </c>
      <c r="K168" s="242">
        <f t="shared" si="45"/>
        <v>2966.666666666667</v>
      </c>
      <c r="L168" s="242">
        <f t="shared" si="45"/>
        <v>2966.666666666667</v>
      </c>
      <c r="M168" s="242">
        <f t="shared" si="45"/>
        <v>2966.666666666667</v>
      </c>
      <c r="N168" s="242">
        <f t="shared" si="45"/>
        <v>2966.666666666667</v>
      </c>
      <c r="O168" s="242">
        <f t="shared" si="45"/>
        <v>2966.666666666667</v>
      </c>
      <c r="P168" s="242">
        <f t="shared" si="45"/>
        <v>2966.666666666667</v>
      </c>
      <c r="Q168" s="242">
        <f t="shared" si="45"/>
        <v>82966.666666666672</v>
      </c>
      <c r="R168" s="242">
        <f t="shared" si="45"/>
        <v>2966.666666666667</v>
      </c>
      <c r="S168" s="242">
        <f t="shared" si="45"/>
        <v>2966.666666666667</v>
      </c>
      <c r="T168" s="242">
        <f t="shared" si="45"/>
        <v>2966.666666666667</v>
      </c>
      <c r="U168" s="235"/>
      <c r="V168" s="244">
        <f>SUM(V169:V172)</f>
        <v>115600</v>
      </c>
      <c r="W168" s="263"/>
      <c r="X168" s="263"/>
    </row>
    <row r="169" spans="1:24" ht="15.75" customHeight="1">
      <c r="A169" s="129"/>
      <c r="B169" s="207" t="s">
        <v>285</v>
      </c>
      <c r="C169" s="166">
        <f>'Information Tech'!C9</f>
        <v>10000</v>
      </c>
      <c r="D169" s="167">
        <f>'Information Tech'!D9</f>
        <v>7014.65</v>
      </c>
      <c r="E169" s="167">
        <f>'Information Tech'!E9</f>
        <v>7800</v>
      </c>
      <c r="F169" s="167">
        <f>'Information Tech'!F9</f>
        <v>15600</v>
      </c>
      <c r="G169" s="210">
        <f t="shared" si="9"/>
        <v>5600</v>
      </c>
      <c r="H169" s="211"/>
      <c r="I169" s="167">
        <f>'Information Tech'!K9</f>
        <v>1300</v>
      </c>
      <c r="J169" s="167">
        <f>'Information Tech'!L9</f>
        <v>1300</v>
      </c>
      <c r="K169" s="167">
        <f>'Information Tech'!M9</f>
        <v>1300</v>
      </c>
      <c r="L169" s="167">
        <f>'Information Tech'!N9</f>
        <v>1300</v>
      </c>
      <c r="M169" s="167">
        <f>'Information Tech'!O9</f>
        <v>1300</v>
      </c>
      <c r="N169" s="167">
        <f>'Information Tech'!P9</f>
        <v>1300</v>
      </c>
      <c r="O169" s="167">
        <f>'Information Tech'!Q9</f>
        <v>1300</v>
      </c>
      <c r="P169" s="167">
        <f>'Information Tech'!R9</f>
        <v>1300</v>
      </c>
      <c r="Q169" s="167">
        <f>'Information Tech'!S9</f>
        <v>1300</v>
      </c>
      <c r="R169" s="167">
        <f>'Information Tech'!T9</f>
        <v>1300</v>
      </c>
      <c r="S169" s="167">
        <f>'Information Tech'!U9</f>
        <v>1300</v>
      </c>
      <c r="T169" s="167">
        <f>'Information Tech'!V9</f>
        <v>1300</v>
      </c>
      <c r="U169" s="235"/>
      <c r="V169" s="214">
        <f t="shared" ref="V169:V173" si="46">SUM(I169:T169)</f>
        <v>15600</v>
      </c>
      <c r="W169" s="263"/>
      <c r="X169" s="263"/>
    </row>
    <row r="170" spans="1:24" ht="15.75" customHeight="1">
      <c r="A170" s="129"/>
      <c r="B170" s="207" t="s">
        <v>286</v>
      </c>
      <c r="C170" s="166">
        <f>'Information Tech'!C10</f>
        <v>15000</v>
      </c>
      <c r="D170" s="167">
        <f>'Information Tech'!D10</f>
        <v>10036.280000000001</v>
      </c>
      <c r="E170" s="167">
        <f>'Information Tech'!E10</f>
        <v>5000</v>
      </c>
      <c r="F170" s="167">
        <f>'Information Tech'!F10</f>
        <v>10000</v>
      </c>
      <c r="G170" s="210">
        <f t="shared" si="9"/>
        <v>-5000</v>
      </c>
      <c r="H170" s="211"/>
      <c r="I170" s="167">
        <f>'Information Tech'!K10</f>
        <v>833.33333333333337</v>
      </c>
      <c r="J170" s="167">
        <f>'Information Tech'!L10</f>
        <v>833.33333333333337</v>
      </c>
      <c r="K170" s="167">
        <f>'Information Tech'!M10</f>
        <v>833.33333333333337</v>
      </c>
      <c r="L170" s="167">
        <f>'Information Tech'!N10</f>
        <v>833.33333333333337</v>
      </c>
      <c r="M170" s="167">
        <f>'Information Tech'!O10</f>
        <v>833.33333333333337</v>
      </c>
      <c r="N170" s="167">
        <f>'Information Tech'!P10</f>
        <v>833.33333333333337</v>
      </c>
      <c r="O170" s="167">
        <f>'Information Tech'!Q10</f>
        <v>833.33333333333337</v>
      </c>
      <c r="P170" s="167">
        <f>'Information Tech'!R10</f>
        <v>833.33333333333337</v>
      </c>
      <c r="Q170" s="167">
        <f>'Information Tech'!S10</f>
        <v>833.33333333333337</v>
      </c>
      <c r="R170" s="167">
        <f>'Information Tech'!T10</f>
        <v>833.33333333333337</v>
      </c>
      <c r="S170" s="167">
        <f>'Information Tech'!U10</f>
        <v>833.33333333333337</v>
      </c>
      <c r="T170" s="167">
        <f>'Information Tech'!V10</f>
        <v>833.33333333333337</v>
      </c>
      <c r="U170" s="235"/>
      <c r="V170" s="214">
        <f t="shared" si="46"/>
        <v>10000</v>
      </c>
      <c r="W170" s="263"/>
      <c r="X170" s="263"/>
    </row>
    <row r="171" spans="1:24" ht="15.75" customHeight="1">
      <c r="A171" s="129"/>
      <c r="B171" s="207" t="s">
        <v>287</v>
      </c>
      <c r="C171" s="208">
        <f>'Information Tech'!C12</f>
        <v>5000</v>
      </c>
      <c r="D171" s="264">
        <f>'Information Tech'!D12</f>
        <v>7712.66</v>
      </c>
      <c r="E171" s="264">
        <f>'Information Tech'!E12</f>
        <v>2000</v>
      </c>
      <c r="F171" s="264">
        <f>'Information Tech'!F12</f>
        <v>10000</v>
      </c>
      <c r="G171" s="210">
        <f t="shared" si="9"/>
        <v>5000</v>
      </c>
      <c r="H171" s="211"/>
      <c r="I171" s="212">
        <f>'Information Tech'!K12</f>
        <v>833.33333333333337</v>
      </c>
      <c r="J171" s="212">
        <f>'Information Tech'!L12</f>
        <v>833.33333333333337</v>
      </c>
      <c r="K171" s="212">
        <f>'Information Tech'!M12</f>
        <v>833.33333333333337</v>
      </c>
      <c r="L171" s="212">
        <f>'Information Tech'!N12</f>
        <v>833.33333333333337</v>
      </c>
      <c r="M171" s="212">
        <f>'Information Tech'!O12</f>
        <v>833.33333333333337</v>
      </c>
      <c r="N171" s="212">
        <f>'Information Tech'!P12</f>
        <v>833.33333333333337</v>
      </c>
      <c r="O171" s="212">
        <f>'Information Tech'!Q12</f>
        <v>833.33333333333337</v>
      </c>
      <c r="P171" s="212">
        <f>'Information Tech'!R12</f>
        <v>833.33333333333337</v>
      </c>
      <c r="Q171" s="212">
        <f>'Information Tech'!S12</f>
        <v>833.33333333333337</v>
      </c>
      <c r="R171" s="212">
        <f>'Information Tech'!T12</f>
        <v>833.33333333333337</v>
      </c>
      <c r="S171" s="212">
        <f>'Information Tech'!U12</f>
        <v>833.33333333333337</v>
      </c>
      <c r="T171" s="212">
        <f>'Information Tech'!V12</f>
        <v>833.33333333333337</v>
      </c>
      <c r="U171" s="235"/>
      <c r="V171" s="214">
        <f t="shared" si="46"/>
        <v>10000</v>
      </c>
      <c r="W171" s="263"/>
      <c r="X171" s="263"/>
    </row>
    <row r="172" spans="1:24" ht="15.75" customHeight="1">
      <c r="A172" s="129"/>
      <c r="B172" s="207" t="s">
        <v>288</v>
      </c>
      <c r="C172" s="208">
        <f>'Information Tech'!C13</f>
        <v>90000</v>
      </c>
      <c r="D172" s="264">
        <f>'Information Tech'!D13</f>
        <v>2299</v>
      </c>
      <c r="E172" s="264">
        <f>'Information Tech'!E13</f>
        <v>78000</v>
      </c>
      <c r="F172" s="264">
        <f>'Information Tech'!F13</f>
        <v>80000</v>
      </c>
      <c r="G172" s="210">
        <f t="shared" si="9"/>
        <v>-10000</v>
      </c>
      <c r="H172" s="211"/>
      <c r="I172" s="212">
        <f>'Information Tech'!K13</f>
        <v>0</v>
      </c>
      <c r="J172" s="212">
        <f>'Information Tech'!L13</f>
        <v>0</v>
      </c>
      <c r="K172" s="212">
        <f>'Information Tech'!M13</f>
        <v>0</v>
      </c>
      <c r="L172" s="212">
        <f>'Information Tech'!N13</f>
        <v>0</v>
      </c>
      <c r="M172" s="212">
        <f>'Information Tech'!O13</f>
        <v>0</v>
      </c>
      <c r="N172" s="212">
        <f>'Information Tech'!P13</f>
        <v>0</v>
      </c>
      <c r="O172" s="212">
        <f>'Information Tech'!Q13</f>
        <v>0</v>
      </c>
      <c r="P172" s="212">
        <f>'Information Tech'!R13</f>
        <v>0</v>
      </c>
      <c r="Q172" s="212">
        <f>'Information Tech'!S13</f>
        <v>80000</v>
      </c>
      <c r="R172" s="212">
        <f>'Information Tech'!T13</f>
        <v>0</v>
      </c>
      <c r="S172" s="212">
        <f>'Information Tech'!U13</f>
        <v>0</v>
      </c>
      <c r="T172" s="212">
        <f>'Information Tech'!V13</f>
        <v>0</v>
      </c>
      <c r="U172" s="235"/>
      <c r="V172" s="214">
        <f t="shared" si="46"/>
        <v>80000</v>
      </c>
      <c r="W172" s="263"/>
      <c r="X172" s="263"/>
    </row>
    <row r="173" spans="1:24" ht="15.75" customHeight="1">
      <c r="A173" s="128"/>
      <c r="B173" s="185" t="s">
        <v>289</v>
      </c>
      <c r="C173" s="216">
        <v>6735.51</v>
      </c>
      <c r="D173" s="265">
        <v>0</v>
      </c>
      <c r="E173" s="265">
        <v>0</v>
      </c>
      <c r="F173" s="266">
        <v>7349.0570000000298</v>
      </c>
      <c r="G173" s="267">
        <f t="shared" si="9"/>
        <v>613.54700000002958</v>
      </c>
      <c r="H173" s="219"/>
      <c r="I173" s="265">
        <v>0</v>
      </c>
      <c r="J173" s="265">
        <v>0</v>
      </c>
      <c r="K173" s="265">
        <v>0</v>
      </c>
      <c r="L173" s="265">
        <v>0</v>
      </c>
      <c r="M173" s="225">
        <v>0</v>
      </c>
      <c r="N173" s="265">
        <v>0</v>
      </c>
      <c r="O173" s="225">
        <v>0</v>
      </c>
      <c r="P173" s="225">
        <v>0</v>
      </c>
      <c r="Q173" s="225">
        <v>0</v>
      </c>
      <c r="R173" s="225">
        <v>0</v>
      </c>
      <c r="S173" s="225">
        <v>0</v>
      </c>
      <c r="T173" s="225">
        <v>7349.0570000000298</v>
      </c>
      <c r="U173" s="213"/>
      <c r="V173" s="268">
        <f t="shared" si="46"/>
        <v>7349.0570000000298</v>
      </c>
      <c r="W173" s="269"/>
      <c r="X173" s="269"/>
    </row>
    <row r="174" spans="1:24" ht="15.75" customHeight="1">
      <c r="A174" s="128" t="s">
        <v>290</v>
      </c>
      <c r="B174" s="185"/>
      <c r="C174" s="216">
        <f t="shared" ref="C174:F174" si="47">C33+C52+C53+C86+C95+C99+C128+C134+C161+C162+C173</f>
        <v>14538243.51</v>
      </c>
      <c r="D174" s="270">
        <f t="shared" si="47"/>
        <v>7909368.4900000002</v>
      </c>
      <c r="E174" s="270">
        <f t="shared" si="47"/>
        <v>8381443.6399999997</v>
      </c>
      <c r="F174" s="270">
        <f t="shared" si="47"/>
        <v>16437508.324999999</v>
      </c>
      <c r="G174" s="271">
        <f t="shared" si="9"/>
        <v>1899264.8149999995</v>
      </c>
      <c r="H174" s="272"/>
      <c r="I174" s="193">
        <f t="shared" ref="I174:T174" si="48">I33+I52+I53+I86+I95+I99+I128+I134+I161+I162+I173</f>
        <v>1377162.3787575758</v>
      </c>
      <c r="J174" s="193">
        <f t="shared" si="48"/>
        <v>1371100.3787575758</v>
      </c>
      <c r="K174" s="193">
        <f t="shared" si="48"/>
        <v>1488039.9343131313</v>
      </c>
      <c r="L174" s="193">
        <f t="shared" si="48"/>
        <v>1390337.9343131313</v>
      </c>
      <c r="M174" s="193">
        <f t="shared" si="48"/>
        <v>1359359.9343131313</v>
      </c>
      <c r="N174" s="193">
        <f t="shared" si="48"/>
        <v>1371928.9343131313</v>
      </c>
      <c r="O174" s="193">
        <f t="shared" si="48"/>
        <v>1385208.9343131313</v>
      </c>
      <c r="P174" s="193">
        <f t="shared" si="48"/>
        <v>1358678.9343131313</v>
      </c>
      <c r="Q174" s="193">
        <f t="shared" si="48"/>
        <v>1440650.9343131313</v>
      </c>
      <c r="R174" s="193">
        <f t="shared" si="48"/>
        <v>1385535.9343131313</v>
      </c>
      <c r="S174" s="193">
        <f t="shared" si="48"/>
        <v>1320501.9343131313</v>
      </c>
      <c r="T174" s="193">
        <f t="shared" si="48"/>
        <v>1199002.1626666668</v>
      </c>
      <c r="U174" s="273"/>
      <c r="V174" s="274">
        <f>V33+V52+V53+V86+V95+V99+V128+V134+V161+V162+V173</f>
        <v>16437508.329</v>
      </c>
      <c r="W174" s="263"/>
      <c r="X174" s="263"/>
    </row>
    <row r="175" spans="1:24" ht="15.75" customHeight="1">
      <c r="A175" s="129"/>
      <c r="B175" s="129"/>
      <c r="C175" s="129"/>
      <c r="D175" s="196"/>
      <c r="E175" s="196"/>
      <c r="F175" s="196"/>
      <c r="G175" s="196"/>
      <c r="H175" s="196"/>
      <c r="I175" s="196"/>
      <c r="J175" s="196"/>
      <c r="K175" s="196"/>
      <c r="L175" s="196"/>
      <c r="M175" s="196"/>
      <c r="N175" s="196"/>
      <c r="O175" s="196"/>
      <c r="P175" s="196"/>
      <c r="Q175" s="196"/>
      <c r="R175" s="196"/>
      <c r="S175" s="196"/>
      <c r="T175" s="196"/>
      <c r="U175" s="275"/>
      <c r="V175" s="275"/>
    </row>
    <row r="176" spans="1:24" ht="15.75" customHeight="1">
      <c r="A176" s="276" t="s">
        <v>291</v>
      </c>
      <c r="B176" s="129"/>
      <c r="C176" s="129"/>
      <c r="D176" s="277"/>
      <c r="E176" s="277"/>
      <c r="F176" s="277"/>
      <c r="G176" s="277"/>
      <c r="H176" s="277"/>
      <c r="I176" s="278">
        <f t="shared" ref="I176:T176" si="49">I30-I174</f>
        <v>-1354272.712090909</v>
      </c>
      <c r="J176" s="278">
        <f t="shared" si="49"/>
        <v>268295.52040909091</v>
      </c>
      <c r="K176" s="278">
        <f t="shared" si="49"/>
        <v>118153.96485353541</v>
      </c>
      <c r="L176" s="278">
        <f t="shared" si="49"/>
        <v>223079.53628210677</v>
      </c>
      <c r="M176" s="278">
        <f t="shared" si="49"/>
        <v>413358.53628210677</v>
      </c>
      <c r="N176" s="278">
        <f t="shared" si="49"/>
        <v>252821.53628210677</v>
      </c>
      <c r="O176" s="278">
        <f t="shared" si="49"/>
        <v>221641.86961544026</v>
      </c>
      <c r="P176" s="278">
        <f t="shared" si="49"/>
        <v>242004.86961544026</v>
      </c>
      <c r="Q176" s="278">
        <f t="shared" si="49"/>
        <v>324923.86961544026</v>
      </c>
      <c r="R176" s="278">
        <f t="shared" si="49"/>
        <v>208611.53628210677</v>
      </c>
      <c r="S176" s="278">
        <f t="shared" si="49"/>
        <v>260716.96485353541</v>
      </c>
      <c r="T176" s="278">
        <f t="shared" si="49"/>
        <v>-1189335.496</v>
      </c>
      <c r="U176" s="194"/>
      <c r="V176" s="279"/>
    </row>
    <row r="177" spans="1:22" ht="15.75" customHeight="1">
      <c r="A177" s="128"/>
      <c r="B177" s="129"/>
      <c r="C177" s="129"/>
      <c r="D177" s="129"/>
      <c r="E177" s="129"/>
      <c r="F177" s="129"/>
      <c r="G177" s="129"/>
      <c r="H177" s="129"/>
      <c r="I177" s="129"/>
      <c r="J177" s="129"/>
      <c r="K177" s="129"/>
      <c r="L177" s="129"/>
      <c r="M177" s="129"/>
      <c r="N177" s="129"/>
      <c r="O177" s="129"/>
      <c r="P177" s="129"/>
      <c r="Q177" s="129"/>
      <c r="R177" s="129"/>
      <c r="S177" s="129"/>
      <c r="T177" s="129"/>
      <c r="U177" s="275"/>
      <c r="V177" s="275"/>
    </row>
    <row r="178" spans="1:22" ht="15.75" hidden="1" customHeight="1">
      <c r="A178" s="128" t="s">
        <v>292</v>
      </c>
      <c r="B178" s="129"/>
      <c r="C178" s="280" t="s">
        <v>293</v>
      </c>
      <c r="D178" s="281"/>
      <c r="E178" s="281"/>
      <c r="F178" s="281"/>
      <c r="G178" s="281"/>
      <c r="H178" s="281"/>
      <c r="I178" s="282">
        <v>1613278.69</v>
      </c>
      <c r="J178" s="282">
        <f t="shared" ref="J178:K178" si="50">I178+J176</f>
        <v>1881574.2104090909</v>
      </c>
      <c r="K178" s="283">
        <f t="shared" si="50"/>
        <v>1999728.1752626263</v>
      </c>
      <c r="L178" s="283">
        <f t="shared" ref="L178:N178" si="51">+K178+L176</f>
        <v>2222807.711544733</v>
      </c>
      <c r="M178" s="283">
        <f t="shared" si="51"/>
        <v>2636166.2478268398</v>
      </c>
      <c r="N178" s="283">
        <f t="shared" si="51"/>
        <v>2888987.7841089466</v>
      </c>
      <c r="O178" s="283">
        <f t="shared" ref="O178:T178" si="52">N178+O176</f>
        <v>3110629.6537243868</v>
      </c>
      <c r="P178" s="284">
        <f t="shared" si="52"/>
        <v>3352634.5233398271</v>
      </c>
      <c r="Q178" s="284">
        <f t="shared" si="52"/>
        <v>3677558.3929552673</v>
      </c>
      <c r="R178" s="284">
        <f t="shared" si="52"/>
        <v>3886169.9292373741</v>
      </c>
      <c r="S178" s="284">
        <f t="shared" si="52"/>
        <v>4146886.8940909095</v>
      </c>
      <c r="T178" s="284">
        <f t="shared" si="52"/>
        <v>2957551.3980909092</v>
      </c>
      <c r="U178" s="229"/>
      <c r="V178" s="229"/>
    </row>
    <row r="179" spans="1:22" ht="15.75" hidden="1" customHeight="1">
      <c r="A179" s="128"/>
      <c r="B179" s="129"/>
      <c r="C179" s="129"/>
      <c r="D179" s="285"/>
      <c r="E179" s="285"/>
      <c r="F179" s="285"/>
      <c r="G179" s="285"/>
      <c r="H179" s="285"/>
      <c r="I179" s="286" t="s">
        <v>294</v>
      </c>
      <c r="J179" s="286" t="s">
        <v>294</v>
      </c>
      <c r="K179" s="286" t="s">
        <v>294</v>
      </c>
      <c r="L179" s="286" t="s">
        <v>294</v>
      </c>
      <c r="M179" s="286" t="s">
        <v>294</v>
      </c>
      <c r="N179" s="286" t="s">
        <v>294</v>
      </c>
      <c r="O179" s="286" t="s">
        <v>294</v>
      </c>
      <c r="P179" s="287" t="s">
        <v>295</v>
      </c>
      <c r="Q179" s="287" t="s">
        <v>295</v>
      </c>
      <c r="R179" s="287" t="s">
        <v>295</v>
      </c>
      <c r="S179" s="287" t="s">
        <v>295</v>
      </c>
      <c r="T179" s="287" t="s">
        <v>295</v>
      </c>
      <c r="U179" s="232"/>
      <c r="V179" s="232"/>
    </row>
    <row r="180" spans="1:22" ht="15.75" hidden="1" customHeight="1">
      <c r="A180" s="128"/>
      <c r="B180" s="129"/>
      <c r="C180" s="129"/>
      <c r="D180" s="129"/>
      <c r="E180" s="129"/>
      <c r="F180" s="129"/>
      <c r="G180" s="129"/>
      <c r="H180" s="129"/>
      <c r="I180" s="129"/>
      <c r="J180" s="129"/>
      <c r="K180" s="129"/>
      <c r="L180" s="129"/>
      <c r="M180" s="129"/>
      <c r="N180" s="129"/>
      <c r="O180" s="129"/>
      <c r="P180" s="129"/>
      <c r="Q180" s="129"/>
      <c r="R180" s="129"/>
      <c r="S180" s="129"/>
      <c r="T180" s="129"/>
      <c r="U180" s="132"/>
      <c r="V180" s="132"/>
    </row>
    <row r="181" spans="1:22" ht="15.75" hidden="1" customHeight="1">
      <c r="A181" s="128"/>
      <c r="B181" s="129"/>
      <c r="C181" s="129"/>
      <c r="D181" s="288"/>
      <c r="E181" s="288"/>
      <c r="F181" s="288"/>
      <c r="G181" s="288"/>
      <c r="H181" s="288"/>
      <c r="I181" s="288" t="s">
        <v>296</v>
      </c>
      <c r="J181" s="132"/>
      <c r="K181" s="132"/>
      <c r="L181" s="132"/>
      <c r="M181" s="132"/>
      <c r="N181" s="132"/>
      <c r="O181" s="132"/>
      <c r="P181" s="132"/>
      <c r="Q181" s="129"/>
      <c r="R181" s="129"/>
      <c r="S181" s="129"/>
      <c r="T181" s="129"/>
      <c r="U181" s="132"/>
      <c r="V181" s="132"/>
    </row>
    <row r="182" spans="1:22" ht="15.75" hidden="1" customHeight="1">
      <c r="A182" s="128"/>
      <c r="B182" s="129"/>
      <c r="C182" s="129"/>
      <c r="D182" s="288"/>
      <c r="E182" s="288"/>
      <c r="F182" s="288"/>
      <c r="G182" s="288"/>
      <c r="H182" s="288"/>
      <c r="I182" s="288"/>
      <c r="J182" s="132"/>
      <c r="K182" s="132"/>
      <c r="L182" s="129"/>
      <c r="M182" s="129"/>
      <c r="N182" s="129"/>
      <c r="O182" s="129"/>
      <c r="P182" s="129"/>
      <c r="Q182" s="129"/>
      <c r="R182" s="129"/>
      <c r="S182" s="129"/>
      <c r="T182" s="129"/>
      <c r="U182" s="132"/>
      <c r="V182" s="132"/>
    </row>
    <row r="183" spans="1:22" ht="15.75" hidden="1" customHeight="1">
      <c r="D183" s="289"/>
      <c r="E183" s="289"/>
      <c r="F183" s="289"/>
      <c r="G183" s="289"/>
      <c r="H183" s="289"/>
      <c r="I183" s="289"/>
      <c r="J183" s="289"/>
      <c r="K183" s="289"/>
      <c r="L183" s="289"/>
      <c r="M183" s="289"/>
      <c r="N183" s="289"/>
      <c r="O183" s="289"/>
      <c r="P183" s="289"/>
      <c r="Q183" s="289"/>
      <c r="R183" s="289"/>
      <c r="S183" s="289"/>
      <c r="T183" s="289"/>
    </row>
    <row r="184" spans="1:22" ht="15.75" hidden="1" customHeight="1">
      <c r="D184" s="290"/>
      <c r="E184" s="290"/>
      <c r="F184" s="290"/>
      <c r="G184" s="290"/>
      <c r="H184" s="290"/>
      <c r="I184" s="290"/>
      <c r="J184" s="289"/>
      <c r="K184" s="289"/>
      <c r="L184" s="289"/>
      <c r="M184" s="289"/>
      <c r="N184" s="289"/>
      <c r="O184" s="289"/>
      <c r="P184" s="289"/>
      <c r="Q184" s="289"/>
      <c r="R184" s="289"/>
      <c r="S184" s="289"/>
      <c r="T184" s="289"/>
    </row>
    <row r="185" spans="1:22" ht="15.75" hidden="1" customHeight="1">
      <c r="D185" s="289"/>
      <c r="E185" s="289"/>
      <c r="F185" s="289"/>
      <c r="G185" s="289"/>
      <c r="H185" s="289"/>
      <c r="I185" s="289"/>
      <c r="J185" s="289"/>
      <c r="K185" s="289"/>
      <c r="L185" s="289"/>
      <c r="M185" s="289"/>
      <c r="N185" s="289"/>
      <c r="O185" s="289"/>
      <c r="P185" s="289"/>
      <c r="Q185" s="289"/>
      <c r="R185" s="289"/>
      <c r="S185" s="289"/>
      <c r="T185" s="289"/>
    </row>
    <row r="186" spans="1:22" ht="15.75" customHeight="1">
      <c r="D186" s="289"/>
      <c r="E186" s="289"/>
      <c r="F186" s="289"/>
      <c r="G186" s="289"/>
      <c r="H186" s="289"/>
      <c r="I186" s="289"/>
      <c r="J186" s="289"/>
      <c r="K186" s="289"/>
      <c r="L186" s="289"/>
      <c r="M186" s="289"/>
      <c r="N186" s="289"/>
      <c r="O186" s="289"/>
      <c r="P186" s="289"/>
      <c r="Q186" s="291"/>
      <c r="R186" s="289"/>
      <c r="S186" s="289"/>
      <c r="T186" s="289"/>
    </row>
    <row r="187" spans="1:22" ht="15.75" customHeight="1">
      <c r="D187" s="289"/>
      <c r="E187" s="289"/>
      <c r="F187" s="289"/>
      <c r="G187" s="289"/>
      <c r="H187" s="289"/>
      <c r="I187" s="289"/>
      <c r="J187" s="289"/>
      <c r="K187" s="289"/>
      <c r="L187" s="289"/>
      <c r="M187" s="289"/>
      <c r="N187" s="289"/>
      <c r="O187" s="289"/>
      <c r="P187" s="289"/>
      <c r="Q187" s="289"/>
      <c r="R187" s="289"/>
      <c r="S187" s="289"/>
      <c r="T187" s="289"/>
    </row>
    <row r="188" spans="1:22" ht="15.75" customHeight="1">
      <c r="D188" s="289"/>
      <c r="E188" s="289"/>
      <c r="F188" s="289"/>
      <c r="G188" s="289"/>
      <c r="H188" s="289"/>
      <c r="I188" s="289"/>
      <c r="J188" s="289"/>
      <c r="K188" s="289"/>
      <c r="L188" s="289"/>
      <c r="M188" s="289"/>
      <c r="N188" s="289"/>
      <c r="O188" s="289"/>
      <c r="P188" s="289"/>
      <c r="Q188" s="289"/>
      <c r="R188" s="289"/>
      <c r="S188" s="289"/>
      <c r="T188" s="289"/>
    </row>
    <row r="189" spans="1:22" ht="15.75" customHeight="1">
      <c r="D189" s="289"/>
      <c r="E189" s="289"/>
      <c r="F189" s="289"/>
      <c r="G189" s="289"/>
      <c r="H189" s="289"/>
      <c r="I189" s="289"/>
      <c r="J189" s="289"/>
      <c r="K189" s="289"/>
      <c r="L189" s="289"/>
      <c r="M189" s="289"/>
      <c r="N189" s="289"/>
      <c r="O189" s="289"/>
      <c r="P189" s="289"/>
      <c r="Q189" s="289"/>
      <c r="R189" s="289"/>
      <c r="S189" s="289"/>
      <c r="T189" s="289"/>
    </row>
    <row r="190" spans="1:22" ht="15.75" customHeight="1">
      <c r="D190" s="289"/>
      <c r="E190" s="289"/>
      <c r="F190" s="289"/>
      <c r="G190" s="289"/>
      <c r="H190" s="289"/>
      <c r="I190" s="289"/>
      <c r="J190" s="289"/>
      <c r="K190" s="289"/>
      <c r="L190" s="289"/>
      <c r="M190" s="289"/>
      <c r="N190" s="289"/>
      <c r="O190" s="289"/>
      <c r="P190" s="289"/>
      <c r="Q190" s="289"/>
      <c r="R190" s="289"/>
      <c r="S190" s="289"/>
      <c r="T190" s="289"/>
    </row>
    <row r="191" spans="1:22" ht="15.75" customHeight="1">
      <c r="D191" s="289"/>
      <c r="E191" s="289"/>
      <c r="F191" s="289"/>
      <c r="G191" s="289"/>
      <c r="H191" s="289"/>
      <c r="I191" s="289"/>
      <c r="J191" s="289"/>
      <c r="K191" s="289"/>
      <c r="L191" s="289"/>
      <c r="M191" s="289"/>
      <c r="N191" s="289"/>
      <c r="O191" s="289"/>
      <c r="P191" s="289"/>
      <c r="Q191" s="289"/>
      <c r="R191" s="289"/>
      <c r="S191" s="289"/>
      <c r="T191" s="289"/>
    </row>
    <row r="192" spans="1:22" ht="15.75" customHeight="1">
      <c r="D192" s="289"/>
      <c r="E192" s="289"/>
      <c r="F192" s="289"/>
      <c r="G192" s="289"/>
      <c r="H192" s="289"/>
      <c r="I192" s="289"/>
      <c r="J192" s="289"/>
      <c r="K192" s="289"/>
      <c r="L192" s="289"/>
      <c r="M192" s="289"/>
      <c r="N192" s="289"/>
      <c r="O192" s="289"/>
      <c r="P192" s="289"/>
      <c r="Q192" s="289"/>
      <c r="R192" s="289"/>
      <c r="S192" s="289"/>
      <c r="T192" s="289"/>
    </row>
    <row r="193" spans="4:20" ht="15.75" customHeight="1">
      <c r="D193" s="289"/>
      <c r="E193" s="289"/>
      <c r="F193" s="289"/>
      <c r="G193" s="289"/>
      <c r="H193" s="289"/>
      <c r="I193" s="289"/>
      <c r="J193" s="289"/>
      <c r="K193" s="289"/>
      <c r="L193" s="289"/>
      <c r="M193" s="289"/>
      <c r="N193" s="289"/>
      <c r="O193" s="289"/>
      <c r="P193" s="289"/>
      <c r="Q193" s="289"/>
      <c r="R193" s="289"/>
      <c r="S193" s="289"/>
      <c r="T193" s="289"/>
    </row>
    <row r="194" spans="4:20" ht="15.75" customHeight="1">
      <c r="D194" s="289"/>
      <c r="E194" s="289"/>
      <c r="F194" s="289"/>
      <c r="G194" s="289"/>
      <c r="H194" s="289"/>
      <c r="I194" s="289"/>
      <c r="J194" s="289"/>
      <c r="K194" s="289"/>
      <c r="L194" s="289"/>
      <c r="M194" s="289"/>
      <c r="N194" s="289"/>
      <c r="O194" s="289"/>
      <c r="P194" s="289"/>
      <c r="Q194" s="289"/>
      <c r="R194" s="289"/>
      <c r="S194" s="289"/>
      <c r="T194" s="289"/>
    </row>
    <row r="195" spans="4:20" ht="15.75" customHeight="1">
      <c r="D195" s="289"/>
      <c r="E195" s="289"/>
      <c r="F195" s="289"/>
      <c r="G195" s="289"/>
      <c r="H195" s="289"/>
      <c r="I195" s="289"/>
      <c r="J195" s="289"/>
      <c r="K195" s="289"/>
      <c r="L195" s="289"/>
      <c r="M195" s="289"/>
      <c r="N195" s="289"/>
      <c r="O195" s="289"/>
      <c r="P195" s="289"/>
      <c r="Q195" s="289"/>
      <c r="R195" s="289"/>
      <c r="S195" s="289"/>
      <c r="T195" s="289"/>
    </row>
    <row r="196" spans="4:20" ht="15.75" customHeight="1">
      <c r="D196" s="289"/>
      <c r="E196" s="289"/>
      <c r="F196" s="289"/>
      <c r="G196" s="289"/>
      <c r="H196" s="289"/>
      <c r="I196" s="289"/>
      <c r="J196" s="289"/>
      <c r="K196" s="289"/>
      <c r="L196" s="289"/>
      <c r="M196" s="289"/>
      <c r="N196" s="289"/>
      <c r="O196" s="289"/>
      <c r="P196" s="289"/>
      <c r="Q196" s="289"/>
      <c r="R196" s="289"/>
      <c r="S196" s="289"/>
      <c r="T196" s="289"/>
    </row>
    <row r="197" spans="4:20" ht="15.75" customHeight="1">
      <c r="D197" s="289"/>
      <c r="E197" s="289"/>
      <c r="F197" s="289"/>
      <c r="G197" s="289"/>
      <c r="H197" s="289"/>
      <c r="I197" s="289"/>
      <c r="J197" s="289"/>
      <c r="K197" s="289"/>
      <c r="L197" s="289"/>
      <c r="M197" s="289"/>
      <c r="N197" s="289"/>
      <c r="O197" s="289"/>
      <c r="P197" s="289"/>
      <c r="Q197" s="289"/>
      <c r="R197" s="289"/>
      <c r="S197" s="289"/>
      <c r="T197" s="289"/>
    </row>
    <row r="198" spans="4:20" ht="15.75" customHeight="1">
      <c r="D198" s="289"/>
      <c r="E198" s="289"/>
      <c r="F198" s="289"/>
      <c r="G198" s="289"/>
      <c r="H198" s="289"/>
      <c r="I198" s="289"/>
      <c r="J198" s="289"/>
      <c r="K198" s="289"/>
      <c r="L198" s="289"/>
      <c r="M198" s="289"/>
      <c r="N198" s="289"/>
      <c r="O198" s="289"/>
      <c r="P198" s="289"/>
      <c r="Q198" s="289"/>
      <c r="R198" s="289"/>
      <c r="S198" s="289"/>
      <c r="T198" s="289"/>
    </row>
    <row r="199" spans="4:20" ht="15.75" customHeight="1">
      <c r="D199" s="289"/>
      <c r="E199" s="289"/>
      <c r="F199" s="289"/>
      <c r="G199" s="289"/>
      <c r="H199" s="289"/>
      <c r="I199" s="289"/>
      <c r="J199" s="289"/>
      <c r="K199" s="289"/>
      <c r="L199" s="289"/>
      <c r="M199" s="289"/>
      <c r="N199" s="289"/>
      <c r="O199" s="289"/>
      <c r="P199" s="289"/>
      <c r="Q199" s="289"/>
      <c r="R199" s="289"/>
      <c r="S199" s="289"/>
      <c r="T199" s="289"/>
    </row>
    <row r="200" spans="4:20" ht="15.75" customHeight="1">
      <c r="D200" s="289"/>
      <c r="E200" s="289"/>
      <c r="F200" s="289"/>
      <c r="G200" s="289"/>
      <c r="H200" s="289"/>
      <c r="I200" s="289"/>
      <c r="J200" s="289"/>
      <c r="K200" s="289"/>
      <c r="L200" s="289"/>
      <c r="M200" s="289"/>
      <c r="N200" s="289"/>
      <c r="O200" s="289"/>
      <c r="P200" s="289"/>
      <c r="Q200" s="289"/>
      <c r="R200" s="289"/>
      <c r="S200" s="289"/>
      <c r="T200" s="289"/>
    </row>
    <row r="201" spans="4:20" ht="15.75" customHeight="1">
      <c r="D201" s="289"/>
      <c r="E201" s="289"/>
      <c r="F201" s="289"/>
      <c r="G201" s="289"/>
      <c r="H201" s="289"/>
      <c r="I201" s="289"/>
      <c r="J201" s="289"/>
      <c r="K201" s="289"/>
      <c r="L201" s="289"/>
      <c r="M201" s="289"/>
      <c r="N201" s="289"/>
      <c r="O201" s="289"/>
      <c r="P201" s="289"/>
      <c r="Q201" s="289"/>
      <c r="R201" s="289"/>
      <c r="S201" s="289"/>
      <c r="T201" s="289"/>
    </row>
    <row r="202" spans="4:20" ht="15.75" customHeight="1">
      <c r="D202" s="289"/>
      <c r="E202" s="289"/>
      <c r="F202" s="289"/>
      <c r="G202" s="289"/>
      <c r="H202" s="289"/>
      <c r="I202" s="289"/>
      <c r="J202" s="289"/>
      <c r="K202" s="289"/>
      <c r="L202" s="289"/>
      <c r="M202" s="289"/>
      <c r="N202" s="289"/>
      <c r="O202" s="289"/>
      <c r="P202" s="289"/>
      <c r="Q202" s="289"/>
      <c r="R202" s="289"/>
      <c r="S202" s="289"/>
      <c r="T202" s="289"/>
    </row>
    <row r="203" spans="4:20" ht="15.75" customHeight="1">
      <c r="D203" s="289"/>
      <c r="E203" s="289"/>
      <c r="F203" s="289"/>
      <c r="G203" s="289"/>
      <c r="H203" s="289"/>
      <c r="I203" s="289"/>
      <c r="J203" s="289"/>
      <c r="K203" s="289"/>
      <c r="L203" s="289"/>
      <c r="M203" s="289"/>
      <c r="N203" s="289"/>
      <c r="O203" s="289"/>
      <c r="P203" s="289"/>
      <c r="Q203" s="289"/>
      <c r="R203" s="289"/>
      <c r="S203" s="289"/>
      <c r="T203" s="289"/>
    </row>
    <row r="204" spans="4:20" ht="15.75" customHeight="1">
      <c r="D204" s="289"/>
      <c r="E204" s="289"/>
      <c r="F204" s="289"/>
      <c r="G204" s="289"/>
      <c r="H204" s="289"/>
      <c r="I204" s="289"/>
      <c r="J204" s="289"/>
      <c r="K204" s="289"/>
      <c r="L204" s="289"/>
      <c r="M204" s="289"/>
      <c r="N204" s="289"/>
      <c r="O204" s="289"/>
      <c r="P204" s="289"/>
      <c r="Q204" s="289"/>
      <c r="R204" s="289"/>
      <c r="S204" s="289"/>
      <c r="T204" s="289"/>
    </row>
    <row r="205" spans="4:20" ht="15.75" customHeight="1">
      <c r="D205" s="289"/>
      <c r="E205" s="289"/>
      <c r="F205" s="289"/>
      <c r="G205" s="289"/>
      <c r="H205" s="289"/>
      <c r="I205" s="289"/>
      <c r="J205" s="289"/>
      <c r="K205" s="289"/>
      <c r="L205" s="289"/>
      <c r="M205" s="289"/>
      <c r="N205" s="289"/>
      <c r="O205" s="289"/>
      <c r="P205" s="289"/>
      <c r="Q205" s="289"/>
      <c r="R205" s="289"/>
      <c r="S205" s="289"/>
      <c r="T205" s="289"/>
    </row>
    <row r="206" spans="4:20" ht="15.75" customHeight="1">
      <c r="D206" s="289"/>
      <c r="E206" s="289"/>
      <c r="F206" s="289"/>
      <c r="G206" s="289"/>
      <c r="H206" s="289"/>
      <c r="I206" s="289"/>
      <c r="J206" s="289"/>
      <c r="K206" s="289"/>
      <c r="L206" s="289"/>
      <c r="M206" s="289"/>
      <c r="N206" s="289"/>
      <c r="O206" s="289"/>
      <c r="P206" s="289"/>
      <c r="Q206" s="289"/>
      <c r="R206" s="289"/>
      <c r="S206" s="289"/>
      <c r="T206" s="289"/>
    </row>
    <row r="207" spans="4:20" ht="15.75" customHeight="1">
      <c r="D207" s="289"/>
      <c r="E207" s="289"/>
      <c r="F207" s="289"/>
      <c r="G207" s="289"/>
      <c r="H207" s="289"/>
      <c r="I207" s="289"/>
      <c r="J207" s="289"/>
      <c r="K207" s="289"/>
      <c r="L207" s="289"/>
      <c r="M207" s="289"/>
      <c r="N207" s="289"/>
      <c r="O207" s="289"/>
      <c r="P207" s="289"/>
      <c r="Q207" s="289"/>
      <c r="R207" s="289"/>
      <c r="S207" s="289"/>
      <c r="T207" s="289"/>
    </row>
    <row r="208" spans="4:20" ht="15.75" customHeight="1">
      <c r="D208" s="289"/>
      <c r="E208" s="289"/>
      <c r="F208" s="289"/>
      <c r="G208" s="289"/>
      <c r="H208" s="289"/>
      <c r="I208" s="289"/>
      <c r="J208" s="289"/>
      <c r="K208" s="289"/>
      <c r="L208" s="289"/>
      <c r="M208" s="289"/>
      <c r="N208" s="289"/>
      <c r="O208" s="289"/>
      <c r="P208" s="289"/>
      <c r="Q208" s="289"/>
      <c r="R208" s="289"/>
      <c r="S208" s="289"/>
      <c r="T208" s="289"/>
    </row>
    <row r="209" spans="4:20" ht="15.75" customHeight="1">
      <c r="D209" s="289"/>
      <c r="E209" s="289"/>
      <c r="F209" s="289"/>
      <c r="G209" s="289"/>
      <c r="H209" s="289"/>
      <c r="I209" s="289"/>
      <c r="J209" s="289"/>
      <c r="K209" s="289"/>
      <c r="L209" s="289"/>
      <c r="M209" s="289"/>
      <c r="N209" s="289"/>
      <c r="O209" s="289"/>
      <c r="P209" s="289"/>
      <c r="Q209" s="289"/>
      <c r="R209" s="289"/>
      <c r="S209" s="289"/>
      <c r="T209" s="289"/>
    </row>
    <row r="210" spans="4:20" ht="15.75" customHeight="1">
      <c r="D210" s="289"/>
      <c r="E210" s="289"/>
      <c r="F210" s="289"/>
      <c r="G210" s="289"/>
      <c r="H210" s="289"/>
      <c r="I210" s="289"/>
      <c r="J210" s="289"/>
      <c r="K210" s="289"/>
      <c r="L210" s="289"/>
      <c r="M210" s="289"/>
      <c r="N210" s="289"/>
      <c r="O210" s="289"/>
      <c r="P210" s="289"/>
      <c r="Q210" s="289"/>
      <c r="R210" s="289"/>
      <c r="S210" s="289"/>
      <c r="T210" s="289"/>
    </row>
    <row r="211" spans="4:20" ht="15.75" customHeight="1">
      <c r="D211" s="289"/>
      <c r="E211" s="289"/>
      <c r="F211" s="289"/>
      <c r="G211" s="289"/>
      <c r="H211" s="289"/>
      <c r="I211" s="289"/>
      <c r="J211" s="289"/>
      <c r="K211" s="289"/>
      <c r="L211" s="289"/>
      <c r="M211" s="289"/>
      <c r="N211" s="289"/>
      <c r="O211" s="289"/>
      <c r="P211" s="289"/>
      <c r="Q211" s="289"/>
      <c r="R211" s="289"/>
      <c r="S211" s="289"/>
      <c r="T211" s="289"/>
    </row>
    <row r="212" spans="4:20" ht="15.75" customHeight="1">
      <c r="D212" s="289"/>
      <c r="E212" s="289"/>
      <c r="F212" s="289"/>
      <c r="G212" s="289"/>
      <c r="H212" s="289"/>
      <c r="I212" s="289"/>
      <c r="J212" s="289"/>
      <c r="K212" s="289"/>
      <c r="L212" s="289"/>
      <c r="M212" s="289"/>
      <c r="N212" s="289"/>
      <c r="O212" s="289"/>
      <c r="P212" s="289"/>
      <c r="Q212" s="289"/>
      <c r="R212" s="289"/>
      <c r="S212" s="289"/>
      <c r="T212" s="289"/>
    </row>
    <row r="213" spans="4:20" ht="15.75" customHeight="1">
      <c r="D213" s="289"/>
      <c r="E213" s="289"/>
      <c r="F213" s="289"/>
      <c r="G213" s="289"/>
      <c r="H213" s="289"/>
      <c r="I213" s="289"/>
      <c r="J213" s="289"/>
      <c r="K213" s="289"/>
      <c r="L213" s="289"/>
      <c r="M213" s="289"/>
      <c r="N213" s="289"/>
      <c r="O213" s="289"/>
      <c r="P213" s="289"/>
      <c r="Q213" s="289"/>
      <c r="R213" s="289"/>
      <c r="S213" s="289"/>
      <c r="T213" s="289"/>
    </row>
    <row r="214" spans="4:20" ht="15.75" customHeight="1">
      <c r="D214" s="289"/>
      <c r="E214" s="289"/>
      <c r="F214" s="289"/>
      <c r="G214" s="289"/>
      <c r="H214" s="289"/>
      <c r="I214" s="289"/>
      <c r="J214" s="289"/>
      <c r="K214" s="289"/>
      <c r="L214" s="289"/>
      <c r="M214" s="289"/>
      <c r="N214" s="289"/>
      <c r="O214" s="289"/>
      <c r="P214" s="289"/>
      <c r="Q214" s="289"/>
      <c r="R214" s="289"/>
      <c r="S214" s="289"/>
      <c r="T214" s="289"/>
    </row>
    <row r="215" spans="4:20" ht="15.75" customHeight="1">
      <c r="D215" s="289"/>
      <c r="E215" s="289"/>
      <c r="F215" s="289"/>
      <c r="G215" s="289"/>
      <c r="H215" s="289"/>
      <c r="I215" s="289"/>
      <c r="J215" s="289"/>
      <c r="K215" s="289"/>
      <c r="L215" s="289"/>
      <c r="M215" s="289"/>
      <c r="N215" s="289"/>
      <c r="O215" s="289"/>
      <c r="P215" s="289"/>
      <c r="Q215" s="289"/>
      <c r="R215" s="289"/>
      <c r="S215" s="289"/>
      <c r="T215" s="289"/>
    </row>
    <row r="216" spans="4:20" ht="15.75" customHeight="1">
      <c r="D216" s="289"/>
      <c r="E216" s="289"/>
      <c r="F216" s="289"/>
      <c r="G216" s="289"/>
      <c r="H216" s="289"/>
      <c r="I216" s="289"/>
      <c r="J216" s="289"/>
      <c r="K216" s="289"/>
      <c r="L216" s="289"/>
      <c r="M216" s="289"/>
      <c r="N216" s="289"/>
      <c r="O216" s="289"/>
      <c r="P216" s="289"/>
      <c r="Q216" s="289"/>
      <c r="R216" s="289"/>
      <c r="S216" s="289"/>
      <c r="T216" s="289"/>
    </row>
    <row r="217" spans="4:20" ht="15.75" customHeight="1">
      <c r="D217" s="289"/>
      <c r="E217" s="289"/>
      <c r="F217" s="289"/>
      <c r="G217" s="289"/>
      <c r="H217" s="289"/>
      <c r="I217" s="289"/>
      <c r="J217" s="289"/>
      <c r="K217" s="289"/>
      <c r="L217" s="289"/>
      <c r="M217" s="289"/>
      <c r="N217" s="289"/>
      <c r="O217" s="289"/>
      <c r="P217" s="289"/>
      <c r="Q217" s="289"/>
      <c r="R217" s="289"/>
      <c r="S217" s="289"/>
      <c r="T217" s="289"/>
    </row>
    <row r="218" spans="4:20" ht="15.75" customHeight="1">
      <c r="D218" s="289"/>
      <c r="E218" s="289"/>
      <c r="F218" s="289"/>
      <c r="G218" s="289"/>
      <c r="H218" s="289"/>
      <c r="I218" s="289"/>
      <c r="J218" s="289"/>
      <c r="K218" s="289"/>
      <c r="L218" s="289"/>
      <c r="M218" s="289"/>
      <c r="N218" s="289"/>
      <c r="O218" s="289"/>
      <c r="P218" s="289"/>
      <c r="Q218" s="289"/>
      <c r="R218" s="289"/>
      <c r="S218" s="289"/>
      <c r="T218" s="289"/>
    </row>
    <row r="219" spans="4:20" ht="15.75" customHeight="1">
      <c r="D219" s="289"/>
      <c r="E219" s="289"/>
      <c r="F219" s="289"/>
      <c r="G219" s="289"/>
      <c r="H219" s="289"/>
      <c r="I219" s="289"/>
      <c r="J219" s="289"/>
      <c r="K219" s="289"/>
      <c r="L219" s="289"/>
      <c r="M219" s="289"/>
      <c r="N219" s="289"/>
      <c r="O219" s="289"/>
      <c r="P219" s="289"/>
      <c r="Q219" s="289"/>
      <c r="R219" s="289"/>
      <c r="S219" s="289"/>
      <c r="T219" s="289"/>
    </row>
    <row r="220" spans="4:20" ht="15.75" customHeight="1">
      <c r="D220" s="289"/>
      <c r="E220" s="289"/>
      <c r="F220" s="289"/>
      <c r="G220" s="289"/>
      <c r="H220" s="289"/>
      <c r="I220" s="289"/>
      <c r="J220" s="289"/>
      <c r="K220" s="289"/>
      <c r="L220" s="289"/>
      <c r="M220" s="289"/>
      <c r="N220" s="289"/>
      <c r="O220" s="289"/>
      <c r="P220" s="289"/>
      <c r="Q220" s="289"/>
      <c r="R220" s="289"/>
      <c r="S220" s="289"/>
      <c r="T220" s="289"/>
    </row>
    <row r="221" spans="4:20" ht="15.75" customHeight="1">
      <c r="D221" s="289"/>
      <c r="E221" s="289"/>
      <c r="F221" s="289"/>
      <c r="G221" s="289"/>
      <c r="H221" s="289"/>
      <c r="I221" s="289"/>
      <c r="J221" s="289"/>
      <c r="K221" s="289"/>
      <c r="L221" s="289"/>
      <c r="M221" s="289"/>
      <c r="N221" s="289"/>
      <c r="O221" s="289"/>
      <c r="P221" s="289"/>
      <c r="Q221" s="289"/>
      <c r="R221" s="289"/>
      <c r="S221" s="289"/>
      <c r="T221" s="289"/>
    </row>
    <row r="222" spans="4:20" ht="15.75" customHeight="1">
      <c r="D222" s="289"/>
      <c r="E222" s="289"/>
      <c r="F222" s="289"/>
      <c r="G222" s="289"/>
      <c r="H222" s="289"/>
      <c r="I222" s="289"/>
      <c r="J222" s="289"/>
      <c r="K222" s="289"/>
      <c r="L222" s="289"/>
      <c r="M222" s="289"/>
      <c r="N222" s="289"/>
      <c r="O222" s="289"/>
      <c r="P222" s="289"/>
      <c r="Q222" s="289"/>
      <c r="R222" s="289"/>
      <c r="S222" s="289"/>
      <c r="T222" s="289"/>
    </row>
    <row r="223" spans="4:20" ht="15.75" customHeight="1">
      <c r="D223" s="289"/>
      <c r="E223" s="289"/>
      <c r="F223" s="289"/>
      <c r="G223" s="289"/>
      <c r="H223" s="289"/>
      <c r="I223" s="289"/>
      <c r="J223" s="289"/>
      <c r="K223" s="289"/>
      <c r="L223" s="289"/>
      <c r="M223" s="289"/>
      <c r="N223" s="289"/>
      <c r="O223" s="289"/>
      <c r="P223" s="289"/>
      <c r="Q223" s="289"/>
      <c r="R223" s="289"/>
      <c r="S223" s="289"/>
      <c r="T223" s="289"/>
    </row>
    <row r="224" spans="4:20" ht="15.75" customHeight="1">
      <c r="D224" s="289"/>
      <c r="E224" s="289"/>
      <c r="F224" s="289"/>
      <c r="G224" s="289"/>
      <c r="H224" s="289"/>
      <c r="I224" s="289"/>
      <c r="J224" s="289"/>
      <c r="K224" s="289"/>
      <c r="L224" s="289"/>
      <c r="M224" s="289"/>
      <c r="N224" s="289"/>
      <c r="O224" s="289"/>
      <c r="P224" s="289"/>
      <c r="Q224" s="289"/>
      <c r="R224" s="289"/>
      <c r="S224" s="289"/>
      <c r="T224" s="289"/>
    </row>
    <row r="225" spans="4:20" ht="15.75" customHeight="1">
      <c r="D225" s="289"/>
      <c r="E225" s="289"/>
      <c r="F225" s="289"/>
      <c r="G225" s="289"/>
      <c r="H225" s="289"/>
      <c r="I225" s="289"/>
      <c r="J225" s="289"/>
      <c r="K225" s="289"/>
      <c r="L225" s="289"/>
      <c r="M225" s="289"/>
      <c r="N225" s="289"/>
      <c r="O225" s="289"/>
      <c r="P225" s="289"/>
      <c r="Q225" s="289"/>
      <c r="R225" s="289"/>
      <c r="S225" s="289"/>
      <c r="T225" s="289"/>
    </row>
    <row r="226" spans="4:20" ht="15.75" customHeight="1">
      <c r="D226" s="289"/>
      <c r="E226" s="289"/>
      <c r="F226" s="289"/>
      <c r="G226" s="289"/>
      <c r="H226" s="289"/>
      <c r="I226" s="289"/>
      <c r="J226" s="289"/>
      <c r="K226" s="289"/>
      <c r="L226" s="289"/>
      <c r="M226" s="289"/>
      <c r="N226" s="289"/>
      <c r="O226" s="289"/>
      <c r="P226" s="289"/>
      <c r="Q226" s="289"/>
      <c r="R226" s="289"/>
      <c r="S226" s="289"/>
      <c r="T226" s="289"/>
    </row>
    <row r="227" spans="4:20" ht="15.75" customHeight="1">
      <c r="D227" s="289"/>
      <c r="E227" s="289"/>
      <c r="F227" s="289"/>
      <c r="G227" s="289"/>
      <c r="H227" s="289"/>
      <c r="I227" s="289"/>
      <c r="J227" s="289"/>
      <c r="K227" s="289"/>
      <c r="L227" s="289"/>
      <c r="M227" s="289"/>
      <c r="N227" s="289"/>
      <c r="O227" s="289"/>
      <c r="P227" s="289"/>
      <c r="Q227" s="289"/>
      <c r="R227" s="289"/>
      <c r="S227" s="289"/>
      <c r="T227" s="289"/>
    </row>
    <row r="228" spans="4:20" ht="15.75" customHeight="1">
      <c r="D228" s="289"/>
      <c r="E228" s="289"/>
      <c r="F228" s="289"/>
      <c r="G228" s="289"/>
      <c r="H228" s="289"/>
      <c r="I228" s="289"/>
      <c r="J228" s="289"/>
      <c r="K228" s="289"/>
      <c r="L228" s="289"/>
      <c r="M228" s="289"/>
      <c r="N228" s="289"/>
      <c r="O228" s="289"/>
      <c r="P228" s="289"/>
      <c r="Q228" s="289"/>
      <c r="R228" s="289"/>
      <c r="S228" s="289"/>
      <c r="T228" s="289"/>
    </row>
    <row r="229" spans="4:20" ht="15.75" customHeight="1">
      <c r="D229" s="289"/>
      <c r="E229" s="289"/>
      <c r="F229" s="289"/>
      <c r="G229" s="289"/>
      <c r="H229" s="289"/>
      <c r="I229" s="289"/>
      <c r="J229" s="289"/>
      <c r="K229" s="289"/>
      <c r="L229" s="289"/>
      <c r="M229" s="289"/>
      <c r="N229" s="289"/>
      <c r="O229" s="289"/>
      <c r="P229" s="289"/>
      <c r="Q229" s="289"/>
      <c r="R229" s="289"/>
      <c r="S229" s="289"/>
      <c r="T229" s="289"/>
    </row>
    <row r="230" spans="4:20" ht="15.75" customHeight="1">
      <c r="D230" s="289"/>
      <c r="E230" s="289"/>
      <c r="F230" s="289"/>
      <c r="G230" s="289"/>
      <c r="H230" s="289"/>
      <c r="I230" s="289"/>
      <c r="J230" s="289"/>
      <c r="K230" s="289"/>
      <c r="L230" s="289"/>
      <c r="M230" s="289"/>
      <c r="N230" s="289"/>
      <c r="O230" s="289"/>
      <c r="P230" s="289"/>
      <c r="Q230" s="289"/>
      <c r="R230" s="289"/>
      <c r="S230" s="289"/>
      <c r="T230" s="289"/>
    </row>
    <row r="231" spans="4:20" ht="15.75" customHeight="1">
      <c r="D231" s="289"/>
      <c r="E231" s="289"/>
      <c r="F231" s="289"/>
      <c r="G231" s="289"/>
      <c r="H231" s="289"/>
      <c r="I231" s="289"/>
      <c r="J231" s="289"/>
      <c r="K231" s="289"/>
      <c r="L231" s="289"/>
      <c r="M231" s="289"/>
      <c r="N231" s="289"/>
      <c r="O231" s="289"/>
      <c r="P231" s="289"/>
      <c r="Q231" s="289"/>
      <c r="R231" s="289"/>
      <c r="S231" s="289"/>
      <c r="T231" s="289"/>
    </row>
    <row r="232" spans="4:20" ht="15.75" customHeight="1">
      <c r="D232" s="289"/>
      <c r="E232" s="289"/>
      <c r="F232" s="289"/>
      <c r="G232" s="289"/>
      <c r="H232" s="289"/>
      <c r="I232" s="289"/>
      <c r="J232" s="289"/>
      <c r="K232" s="289"/>
      <c r="L232" s="289"/>
      <c r="M232" s="289"/>
      <c r="N232" s="289"/>
      <c r="O232" s="289"/>
      <c r="P232" s="289"/>
      <c r="Q232" s="289"/>
      <c r="R232" s="289"/>
      <c r="S232" s="289"/>
      <c r="T232" s="289"/>
    </row>
    <row r="233" spans="4:20" ht="15.75" customHeight="1">
      <c r="D233" s="289"/>
      <c r="E233" s="289"/>
      <c r="F233" s="289"/>
      <c r="G233" s="289"/>
      <c r="H233" s="289"/>
      <c r="I233" s="289"/>
      <c r="J233" s="289"/>
      <c r="K233" s="289"/>
      <c r="L233" s="289"/>
      <c r="M233" s="289"/>
      <c r="N233" s="289"/>
      <c r="O233" s="289"/>
      <c r="P233" s="289"/>
      <c r="Q233" s="289"/>
      <c r="R233" s="289"/>
      <c r="S233" s="289"/>
      <c r="T233" s="289"/>
    </row>
    <row r="234" spans="4:20" ht="15.75" customHeight="1">
      <c r="D234" s="289"/>
      <c r="E234" s="289"/>
      <c r="F234" s="289"/>
      <c r="G234" s="289"/>
      <c r="H234" s="289"/>
      <c r="I234" s="289"/>
      <c r="J234" s="289"/>
      <c r="K234" s="289"/>
      <c r="L234" s="289"/>
      <c r="M234" s="289"/>
      <c r="N234" s="289"/>
      <c r="O234" s="289"/>
      <c r="P234" s="289"/>
      <c r="Q234" s="289"/>
      <c r="R234" s="289"/>
      <c r="S234" s="289"/>
      <c r="T234" s="289"/>
    </row>
    <row r="235" spans="4:20" ht="15.75" customHeight="1">
      <c r="D235" s="289"/>
      <c r="E235" s="289"/>
      <c r="F235" s="289"/>
      <c r="G235" s="289"/>
      <c r="H235" s="289"/>
      <c r="I235" s="289"/>
      <c r="J235" s="289"/>
      <c r="K235" s="289"/>
      <c r="L235" s="289"/>
      <c r="M235" s="289"/>
      <c r="N235" s="289"/>
      <c r="O235" s="289"/>
      <c r="P235" s="289"/>
      <c r="Q235" s="289"/>
      <c r="R235" s="289"/>
      <c r="S235" s="289"/>
      <c r="T235" s="289"/>
    </row>
    <row r="236" spans="4:20" ht="15.75" customHeight="1">
      <c r="D236" s="289"/>
      <c r="E236" s="289"/>
      <c r="F236" s="289"/>
      <c r="G236" s="289"/>
      <c r="H236" s="289"/>
      <c r="I236" s="289"/>
      <c r="J236" s="289"/>
      <c r="K236" s="289"/>
      <c r="L236" s="289"/>
      <c r="M236" s="289"/>
      <c r="N236" s="289"/>
      <c r="O236" s="289"/>
      <c r="P236" s="289"/>
      <c r="Q236" s="289"/>
      <c r="R236" s="289"/>
      <c r="S236" s="289"/>
      <c r="T236" s="289"/>
    </row>
    <row r="237" spans="4:20" ht="15.75" customHeight="1">
      <c r="D237" s="289"/>
      <c r="E237" s="289"/>
      <c r="F237" s="289"/>
      <c r="G237" s="289"/>
      <c r="H237" s="289"/>
      <c r="I237" s="289"/>
      <c r="J237" s="289"/>
      <c r="K237" s="289"/>
      <c r="L237" s="289"/>
      <c r="M237" s="289"/>
      <c r="N237" s="289"/>
      <c r="O237" s="289"/>
      <c r="P237" s="289"/>
      <c r="Q237" s="289"/>
      <c r="R237" s="289"/>
      <c r="S237" s="289"/>
      <c r="T237" s="289"/>
    </row>
    <row r="238" spans="4:20" ht="15.75" customHeight="1">
      <c r="D238" s="289"/>
      <c r="E238" s="289"/>
      <c r="F238" s="289"/>
      <c r="G238" s="289"/>
      <c r="H238" s="289"/>
      <c r="I238" s="289"/>
      <c r="J238" s="289"/>
      <c r="K238" s="289"/>
      <c r="L238" s="289"/>
      <c r="M238" s="289"/>
      <c r="N238" s="289"/>
      <c r="O238" s="289"/>
      <c r="P238" s="289"/>
      <c r="Q238" s="289"/>
      <c r="R238" s="289"/>
      <c r="S238" s="289"/>
      <c r="T238" s="289"/>
    </row>
    <row r="239" spans="4:20" ht="15.75" customHeight="1">
      <c r="D239" s="289"/>
      <c r="E239" s="289"/>
      <c r="F239" s="289"/>
      <c r="G239" s="289"/>
      <c r="H239" s="289"/>
      <c r="I239" s="289"/>
      <c r="J239" s="289"/>
      <c r="K239" s="289"/>
      <c r="L239" s="289"/>
      <c r="M239" s="289"/>
      <c r="N239" s="289"/>
      <c r="O239" s="289"/>
      <c r="P239" s="289"/>
      <c r="Q239" s="289"/>
      <c r="R239" s="289"/>
      <c r="S239" s="289"/>
      <c r="T239" s="289"/>
    </row>
    <row r="240" spans="4:20" ht="15.75" customHeight="1">
      <c r="D240" s="289"/>
      <c r="E240" s="289"/>
      <c r="F240" s="289"/>
      <c r="G240" s="289"/>
      <c r="H240" s="289"/>
      <c r="I240" s="289"/>
      <c r="J240" s="289"/>
      <c r="K240" s="289"/>
      <c r="L240" s="289"/>
      <c r="M240" s="289"/>
      <c r="N240" s="289"/>
      <c r="O240" s="289"/>
      <c r="P240" s="289"/>
      <c r="Q240" s="289"/>
      <c r="R240" s="289"/>
      <c r="S240" s="289"/>
      <c r="T240" s="289"/>
    </row>
    <row r="241" spans="4:20" ht="15.75" customHeight="1">
      <c r="D241" s="289"/>
      <c r="E241" s="289"/>
      <c r="F241" s="289"/>
      <c r="G241" s="289"/>
      <c r="H241" s="289"/>
      <c r="I241" s="289"/>
      <c r="J241" s="289"/>
      <c r="K241" s="289"/>
      <c r="L241" s="289"/>
      <c r="M241" s="289"/>
      <c r="N241" s="289"/>
      <c r="O241" s="289"/>
      <c r="P241" s="289"/>
      <c r="Q241" s="289"/>
      <c r="R241" s="289"/>
      <c r="S241" s="289"/>
      <c r="T241" s="289"/>
    </row>
    <row r="242" spans="4:20" ht="15.75" customHeight="1">
      <c r="D242" s="289"/>
      <c r="E242" s="289"/>
      <c r="F242" s="289"/>
      <c r="G242" s="289"/>
      <c r="H242" s="289"/>
      <c r="I242" s="289"/>
      <c r="J242" s="289"/>
      <c r="K242" s="289"/>
      <c r="L242" s="289"/>
      <c r="M242" s="289"/>
      <c r="N242" s="289"/>
      <c r="O242" s="289"/>
      <c r="P242" s="289"/>
      <c r="Q242" s="289"/>
      <c r="R242" s="289"/>
      <c r="S242" s="289"/>
      <c r="T242" s="289"/>
    </row>
    <row r="243" spans="4:20" ht="15.75" customHeight="1">
      <c r="D243" s="289"/>
      <c r="E243" s="289"/>
      <c r="F243" s="289"/>
      <c r="G243" s="289"/>
      <c r="H243" s="289"/>
      <c r="I243" s="289"/>
      <c r="J243" s="289"/>
      <c r="K243" s="289"/>
      <c r="L243" s="289"/>
      <c r="M243" s="289"/>
      <c r="N243" s="289"/>
      <c r="O243" s="289"/>
      <c r="P243" s="289"/>
      <c r="Q243" s="289"/>
      <c r="R243" s="289"/>
      <c r="S243" s="289"/>
      <c r="T243" s="289"/>
    </row>
    <row r="244" spans="4:20" ht="15.75" customHeight="1">
      <c r="D244" s="289"/>
      <c r="E244" s="289"/>
      <c r="F244" s="289"/>
      <c r="G244" s="289"/>
      <c r="H244" s="289"/>
      <c r="I244" s="289"/>
      <c r="J244" s="289"/>
      <c r="K244" s="289"/>
      <c r="L244" s="289"/>
      <c r="M244" s="289"/>
      <c r="N244" s="289"/>
      <c r="O244" s="289"/>
      <c r="P244" s="289"/>
      <c r="Q244" s="289"/>
      <c r="R244" s="289"/>
      <c r="S244" s="289"/>
      <c r="T244" s="289"/>
    </row>
    <row r="245" spans="4:20" ht="15.75" customHeight="1">
      <c r="D245" s="289"/>
      <c r="E245" s="289"/>
      <c r="F245" s="289"/>
      <c r="G245" s="289"/>
      <c r="H245" s="289"/>
      <c r="I245" s="289"/>
      <c r="J245" s="289"/>
      <c r="K245" s="289"/>
      <c r="L245" s="289"/>
      <c r="M245" s="289"/>
      <c r="N245" s="289"/>
      <c r="O245" s="289"/>
      <c r="P245" s="289"/>
      <c r="Q245" s="289"/>
      <c r="R245" s="289"/>
      <c r="S245" s="289"/>
      <c r="T245" s="289"/>
    </row>
    <row r="246" spans="4:20" ht="15.75" customHeight="1">
      <c r="D246" s="289"/>
      <c r="E246" s="289"/>
      <c r="F246" s="289"/>
      <c r="G246" s="289"/>
      <c r="H246" s="289"/>
      <c r="I246" s="289"/>
      <c r="J246" s="289"/>
      <c r="K246" s="289"/>
      <c r="L246" s="289"/>
      <c r="M246" s="289"/>
      <c r="N246" s="289"/>
      <c r="O246" s="289"/>
      <c r="P246" s="289"/>
      <c r="Q246" s="289"/>
      <c r="R246" s="289"/>
      <c r="S246" s="289"/>
      <c r="T246" s="289"/>
    </row>
    <row r="247" spans="4:20" ht="15.75" customHeight="1">
      <c r="D247" s="289"/>
      <c r="E247" s="289"/>
      <c r="F247" s="289"/>
      <c r="G247" s="289"/>
      <c r="H247" s="289"/>
      <c r="I247" s="289"/>
      <c r="J247" s="289"/>
      <c r="K247" s="289"/>
      <c r="L247" s="289"/>
      <c r="M247" s="289"/>
      <c r="N247" s="289"/>
      <c r="O247" s="289"/>
      <c r="P247" s="289"/>
      <c r="Q247" s="289"/>
      <c r="R247" s="289"/>
      <c r="S247" s="289"/>
      <c r="T247" s="289"/>
    </row>
    <row r="248" spans="4:20" ht="15.75" customHeight="1">
      <c r="D248" s="289"/>
      <c r="E248" s="289"/>
      <c r="F248" s="289"/>
      <c r="G248" s="289"/>
      <c r="H248" s="289"/>
      <c r="I248" s="289"/>
      <c r="J248" s="289"/>
      <c r="K248" s="289"/>
      <c r="L248" s="289"/>
      <c r="M248" s="289"/>
      <c r="N248" s="289"/>
      <c r="O248" s="289"/>
      <c r="P248" s="289"/>
      <c r="Q248" s="289"/>
      <c r="R248" s="289"/>
      <c r="S248" s="289"/>
      <c r="T248" s="289"/>
    </row>
    <row r="249" spans="4:20" ht="15.75" customHeight="1">
      <c r="D249" s="289"/>
      <c r="E249" s="289"/>
      <c r="F249" s="289"/>
      <c r="G249" s="289"/>
      <c r="H249" s="289"/>
      <c r="I249" s="289"/>
      <c r="J249" s="289"/>
      <c r="K249" s="289"/>
      <c r="L249" s="289"/>
      <c r="M249" s="289"/>
      <c r="N249" s="289"/>
      <c r="O249" s="289"/>
      <c r="P249" s="289"/>
      <c r="Q249" s="289"/>
      <c r="R249" s="289"/>
      <c r="S249" s="289"/>
      <c r="T249" s="289"/>
    </row>
    <row r="250" spans="4:20" ht="15.75" customHeight="1">
      <c r="D250" s="289"/>
      <c r="E250" s="289"/>
      <c r="F250" s="289"/>
      <c r="G250" s="289"/>
      <c r="H250" s="289"/>
      <c r="I250" s="289"/>
      <c r="J250" s="289"/>
      <c r="K250" s="289"/>
      <c r="L250" s="289"/>
      <c r="M250" s="289"/>
      <c r="N250" s="289"/>
      <c r="O250" s="289"/>
      <c r="P250" s="289"/>
      <c r="Q250" s="289"/>
      <c r="R250" s="289"/>
      <c r="S250" s="289"/>
      <c r="T250" s="289"/>
    </row>
    <row r="251" spans="4:20" ht="15.75" customHeight="1">
      <c r="D251" s="289"/>
      <c r="E251" s="289"/>
      <c r="F251" s="289"/>
      <c r="G251" s="289"/>
      <c r="H251" s="289"/>
      <c r="I251" s="289"/>
      <c r="J251" s="289"/>
      <c r="K251" s="289"/>
      <c r="L251" s="289"/>
      <c r="M251" s="289"/>
      <c r="N251" s="289"/>
      <c r="O251" s="289"/>
      <c r="P251" s="289"/>
      <c r="Q251" s="289"/>
      <c r="R251" s="289"/>
      <c r="S251" s="289"/>
      <c r="T251" s="289"/>
    </row>
    <row r="252" spans="4:20" ht="15.75" customHeight="1">
      <c r="D252" s="289"/>
      <c r="E252" s="289"/>
      <c r="F252" s="289"/>
      <c r="G252" s="289"/>
      <c r="H252" s="289"/>
      <c r="I252" s="289"/>
      <c r="J252" s="289"/>
      <c r="K252" s="289"/>
      <c r="L252" s="289"/>
      <c r="M252" s="289"/>
      <c r="N252" s="289"/>
      <c r="O252" s="289"/>
      <c r="P252" s="289"/>
      <c r="Q252" s="289"/>
      <c r="R252" s="289"/>
      <c r="S252" s="289"/>
      <c r="T252" s="289"/>
    </row>
    <row r="253" spans="4:20" ht="15.75" customHeight="1">
      <c r="D253" s="289"/>
      <c r="E253" s="289"/>
      <c r="F253" s="289"/>
      <c r="G253" s="289"/>
      <c r="H253" s="289"/>
      <c r="I253" s="289"/>
      <c r="J253" s="289"/>
      <c r="K253" s="289"/>
      <c r="L253" s="289"/>
      <c r="M253" s="289"/>
      <c r="N253" s="289"/>
      <c r="O253" s="289"/>
      <c r="P253" s="289"/>
      <c r="Q253" s="289"/>
      <c r="R253" s="289"/>
      <c r="S253" s="289"/>
      <c r="T253" s="289"/>
    </row>
    <row r="254" spans="4:20" ht="15.75" customHeight="1">
      <c r="D254" s="289"/>
      <c r="E254" s="289"/>
      <c r="F254" s="289"/>
      <c r="G254" s="289"/>
      <c r="H254" s="289"/>
      <c r="I254" s="289"/>
      <c r="J254" s="289"/>
      <c r="K254" s="289"/>
      <c r="L254" s="289"/>
      <c r="M254" s="289"/>
      <c r="N254" s="289"/>
      <c r="O254" s="289"/>
      <c r="P254" s="289"/>
      <c r="Q254" s="289"/>
      <c r="R254" s="289"/>
      <c r="S254" s="289"/>
      <c r="T254" s="289"/>
    </row>
    <row r="255" spans="4:20" ht="15.75" customHeight="1">
      <c r="D255" s="289"/>
      <c r="E255" s="289"/>
      <c r="F255" s="289"/>
      <c r="G255" s="289"/>
      <c r="H255" s="289"/>
      <c r="I255" s="289"/>
      <c r="J255" s="289"/>
      <c r="K255" s="289"/>
      <c r="L255" s="289"/>
      <c r="M255" s="289"/>
      <c r="N255" s="289"/>
      <c r="O255" s="289"/>
      <c r="P255" s="289"/>
      <c r="Q255" s="289"/>
      <c r="R255" s="289"/>
      <c r="S255" s="289"/>
      <c r="T255" s="289"/>
    </row>
    <row r="256" spans="4:20" ht="15.75" customHeight="1">
      <c r="D256" s="289"/>
      <c r="E256" s="289"/>
      <c r="F256" s="289"/>
      <c r="G256" s="289"/>
      <c r="H256" s="289"/>
      <c r="I256" s="289"/>
      <c r="J256" s="289"/>
      <c r="K256" s="289"/>
      <c r="L256" s="289"/>
      <c r="M256" s="289"/>
      <c r="N256" s="289"/>
      <c r="O256" s="289"/>
      <c r="P256" s="289"/>
      <c r="Q256" s="289"/>
      <c r="R256" s="289"/>
      <c r="S256" s="289"/>
      <c r="T256" s="289"/>
    </row>
    <row r="257" spans="4:20" ht="15.75" customHeight="1">
      <c r="D257" s="289"/>
      <c r="E257" s="289"/>
      <c r="F257" s="289"/>
      <c r="G257" s="289"/>
      <c r="H257" s="289"/>
      <c r="I257" s="289"/>
      <c r="J257" s="289"/>
      <c r="K257" s="289"/>
      <c r="L257" s="289"/>
      <c r="M257" s="289"/>
      <c r="N257" s="289"/>
      <c r="O257" s="289"/>
      <c r="P257" s="289"/>
      <c r="Q257" s="289"/>
      <c r="R257" s="289"/>
      <c r="S257" s="289"/>
      <c r="T257" s="289"/>
    </row>
    <row r="258" spans="4:20" ht="15.75" customHeight="1">
      <c r="D258" s="289"/>
      <c r="E258" s="289"/>
      <c r="F258" s="289"/>
      <c r="G258" s="289"/>
      <c r="H258" s="289"/>
      <c r="I258" s="289"/>
      <c r="J258" s="289"/>
      <c r="K258" s="289"/>
      <c r="L258" s="289"/>
      <c r="M258" s="289"/>
      <c r="N258" s="289"/>
      <c r="O258" s="289"/>
      <c r="P258" s="289"/>
      <c r="Q258" s="289"/>
      <c r="R258" s="289"/>
      <c r="S258" s="289"/>
      <c r="T258" s="289"/>
    </row>
    <row r="259" spans="4:20" ht="15.75" customHeight="1">
      <c r="D259" s="289"/>
      <c r="E259" s="289"/>
      <c r="F259" s="289"/>
      <c r="G259" s="289"/>
      <c r="H259" s="289"/>
      <c r="I259" s="289"/>
      <c r="J259" s="289"/>
      <c r="K259" s="289"/>
      <c r="L259" s="289"/>
      <c r="M259" s="289"/>
      <c r="N259" s="289"/>
      <c r="O259" s="289"/>
      <c r="P259" s="289"/>
      <c r="Q259" s="289"/>
      <c r="R259" s="289"/>
      <c r="S259" s="289"/>
      <c r="T259" s="289"/>
    </row>
    <row r="260" spans="4:20" ht="15.75" customHeight="1">
      <c r="D260" s="289"/>
      <c r="E260" s="289"/>
      <c r="F260" s="289"/>
      <c r="G260" s="289"/>
      <c r="H260" s="289"/>
      <c r="I260" s="289"/>
      <c r="J260" s="289"/>
      <c r="K260" s="289"/>
      <c r="L260" s="289"/>
      <c r="M260" s="289"/>
      <c r="N260" s="289"/>
      <c r="O260" s="289"/>
      <c r="P260" s="289"/>
      <c r="Q260" s="289"/>
      <c r="R260" s="289"/>
      <c r="S260" s="289"/>
      <c r="T260" s="289"/>
    </row>
    <row r="261" spans="4:20" ht="15.75" customHeight="1">
      <c r="D261" s="289"/>
      <c r="E261" s="289"/>
      <c r="F261" s="289"/>
      <c r="G261" s="289"/>
      <c r="H261" s="289"/>
      <c r="I261" s="289"/>
      <c r="J261" s="289"/>
      <c r="K261" s="289"/>
      <c r="L261" s="289"/>
      <c r="M261" s="289"/>
      <c r="N261" s="289"/>
      <c r="O261" s="289"/>
      <c r="P261" s="289"/>
      <c r="Q261" s="289"/>
      <c r="R261" s="289"/>
      <c r="S261" s="289"/>
      <c r="T261" s="289"/>
    </row>
    <row r="262" spans="4:20" ht="15.75" customHeight="1">
      <c r="D262" s="289"/>
      <c r="E262" s="289"/>
      <c r="F262" s="289"/>
      <c r="G262" s="289"/>
      <c r="H262" s="289"/>
      <c r="I262" s="289"/>
      <c r="J262" s="289"/>
      <c r="K262" s="289"/>
      <c r="L262" s="289"/>
      <c r="M262" s="289"/>
      <c r="N262" s="289"/>
      <c r="O262" s="289"/>
      <c r="P262" s="289"/>
      <c r="Q262" s="289"/>
      <c r="R262" s="289"/>
      <c r="S262" s="289"/>
      <c r="T262" s="289"/>
    </row>
    <row r="263" spans="4:20" ht="15.75" customHeight="1">
      <c r="D263" s="289"/>
      <c r="E263" s="289"/>
      <c r="F263" s="289"/>
      <c r="G263" s="289"/>
      <c r="H263" s="289"/>
      <c r="I263" s="289"/>
      <c r="J263" s="289"/>
      <c r="K263" s="289"/>
      <c r="L263" s="289"/>
      <c r="M263" s="289"/>
      <c r="N263" s="289"/>
      <c r="O263" s="289"/>
      <c r="P263" s="289"/>
      <c r="Q263" s="289"/>
      <c r="R263" s="289"/>
      <c r="S263" s="289"/>
      <c r="T263" s="289"/>
    </row>
    <row r="264" spans="4:20" ht="15.75" customHeight="1">
      <c r="D264" s="289"/>
      <c r="E264" s="289"/>
      <c r="F264" s="289"/>
      <c r="G264" s="289"/>
      <c r="H264" s="289"/>
      <c r="I264" s="289"/>
      <c r="J264" s="289"/>
      <c r="K264" s="289"/>
      <c r="L264" s="289"/>
      <c r="M264" s="289"/>
      <c r="N264" s="289"/>
      <c r="O264" s="289"/>
      <c r="P264" s="289"/>
      <c r="Q264" s="289"/>
      <c r="R264" s="289"/>
      <c r="S264" s="289"/>
      <c r="T264" s="289"/>
    </row>
    <row r="265" spans="4:20" ht="15.75" customHeight="1">
      <c r="D265" s="289"/>
      <c r="E265" s="289"/>
      <c r="F265" s="289"/>
      <c r="G265" s="289"/>
      <c r="H265" s="289"/>
      <c r="I265" s="289"/>
      <c r="J265" s="289"/>
      <c r="K265" s="289"/>
      <c r="L265" s="289"/>
      <c r="M265" s="289"/>
      <c r="N265" s="289"/>
      <c r="O265" s="289"/>
      <c r="P265" s="289"/>
      <c r="Q265" s="289"/>
      <c r="R265" s="289"/>
      <c r="S265" s="289"/>
      <c r="T265" s="289"/>
    </row>
    <row r="266" spans="4:20" ht="15.75" customHeight="1">
      <c r="D266" s="289"/>
      <c r="E266" s="289"/>
      <c r="F266" s="289"/>
      <c r="G266" s="289"/>
      <c r="H266" s="289"/>
      <c r="I266" s="289"/>
      <c r="J266" s="289"/>
      <c r="K266" s="289"/>
      <c r="L266" s="289"/>
      <c r="M266" s="289"/>
      <c r="N266" s="289"/>
      <c r="O266" s="289"/>
      <c r="P266" s="289"/>
      <c r="Q266" s="289"/>
      <c r="R266" s="289"/>
      <c r="S266" s="289"/>
      <c r="T266" s="289"/>
    </row>
    <row r="267" spans="4:20" ht="15.75" customHeight="1">
      <c r="D267" s="289"/>
      <c r="E267" s="289"/>
      <c r="F267" s="289"/>
      <c r="G267" s="289"/>
      <c r="H267" s="289"/>
      <c r="I267" s="289"/>
      <c r="J267" s="289"/>
      <c r="K267" s="289"/>
      <c r="L267" s="289"/>
      <c r="M267" s="289"/>
      <c r="N267" s="289"/>
      <c r="O267" s="289"/>
      <c r="P267" s="289"/>
      <c r="Q267" s="289"/>
      <c r="R267" s="289"/>
      <c r="S267" s="289"/>
      <c r="T267" s="289"/>
    </row>
    <row r="268" spans="4:20" ht="15.75" customHeight="1">
      <c r="D268" s="289"/>
      <c r="E268" s="289"/>
      <c r="F268" s="289"/>
      <c r="G268" s="289"/>
      <c r="H268" s="289"/>
      <c r="I268" s="289"/>
      <c r="J268" s="289"/>
      <c r="K268" s="289"/>
      <c r="L268" s="289"/>
      <c r="M268" s="289"/>
      <c r="N268" s="289"/>
      <c r="O268" s="289"/>
      <c r="P268" s="289"/>
      <c r="Q268" s="289"/>
      <c r="R268" s="289"/>
      <c r="S268" s="289"/>
      <c r="T268" s="289"/>
    </row>
    <row r="269" spans="4:20" ht="15.75" customHeight="1">
      <c r="D269" s="289"/>
      <c r="E269" s="289"/>
      <c r="F269" s="289"/>
      <c r="G269" s="289"/>
      <c r="H269" s="289"/>
      <c r="I269" s="289"/>
      <c r="J269" s="289"/>
      <c r="K269" s="289"/>
      <c r="L269" s="289"/>
      <c r="M269" s="289"/>
      <c r="N269" s="289"/>
      <c r="O269" s="289"/>
      <c r="P269" s="289"/>
      <c r="Q269" s="289"/>
      <c r="R269" s="289"/>
      <c r="S269" s="289"/>
      <c r="T269" s="289"/>
    </row>
    <row r="270" spans="4:20" ht="15.75" customHeight="1">
      <c r="D270" s="289"/>
      <c r="E270" s="289"/>
      <c r="F270" s="289"/>
      <c r="G270" s="289"/>
      <c r="H270" s="289"/>
      <c r="I270" s="289"/>
      <c r="J270" s="289"/>
      <c r="K270" s="289"/>
      <c r="L270" s="289"/>
      <c r="M270" s="289"/>
      <c r="N270" s="289"/>
      <c r="O270" s="289"/>
      <c r="P270" s="289"/>
      <c r="Q270" s="289"/>
      <c r="R270" s="289"/>
      <c r="S270" s="289"/>
      <c r="T270" s="289"/>
    </row>
    <row r="271" spans="4:20" ht="15.75" customHeight="1">
      <c r="D271" s="289"/>
      <c r="E271" s="289"/>
      <c r="F271" s="289"/>
      <c r="G271" s="289"/>
      <c r="H271" s="289"/>
      <c r="I271" s="289"/>
      <c r="J271" s="289"/>
      <c r="K271" s="289"/>
      <c r="L271" s="289"/>
      <c r="M271" s="289"/>
      <c r="N271" s="289"/>
      <c r="O271" s="289"/>
      <c r="P271" s="289"/>
      <c r="Q271" s="289"/>
      <c r="R271" s="289"/>
      <c r="S271" s="289"/>
      <c r="T271" s="289"/>
    </row>
    <row r="272" spans="4:20" ht="15.75" customHeight="1">
      <c r="D272" s="289"/>
      <c r="E272" s="289"/>
      <c r="F272" s="289"/>
      <c r="G272" s="289"/>
      <c r="H272" s="289"/>
      <c r="I272" s="289"/>
      <c r="J272" s="289"/>
      <c r="K272" s="289"/>
      <c r="L272" s="289"/>
      <c r="M272" s="289"/>
      <c r="N272" s="289"/>
      <c r="O272" s="289"/>
      <c r="P272" s="289"/>
      <c r="Q272" s="289"/>
      <c r="R272" s="289"/>
      <c r="S272" s="289"/>
      <c r="T272" s="289"/>
    </row>
    <row r="273" spans="4:20" ht="15.75" customHeight="1">
      <c r="D273" s="289"/>
      <c r="E273" s="289"/>
      <c r="F273" s="289"/>
      <c r="G273" s="289"/>
      <c r="H273" s="289"/>
      <c r="I273" s="289"/>
      <c r="J273" s="289"/>
      <c r="K273" s="289"/>
      <c r="L273" s="289"/>
      <c r="M273" s="289"/>
      <c r="N273" s="289"/>
      <c r="O273" s="289"/>
      <c r="P273" s="289"/>
      <c r="Q273" s="289"/>
      <c r="R273" s="289"/>
      <c r="S273" s="289"/>
      <c r="T273" s="289"/>
    </row>
    <row r="274" spans="4:20" ht="15.75" customHeight="1">
      <c r="D274" s="289"/>
      <c r="E274" s="289"/>
      <c r="F274" s="289"/>
      <c r="G274" s="289"/>
      <c r="H274" s="289"/>
      <c r="I274" s="289"/>
      <c r="J274" s="289"/>
      <c r="K274" s="289"/>
      <c r="L274" s="289"/>
      <c r="M274" s="289"/>
      <c r="N274" s="289"/>
      <c r="O274" s="289"/>
      <c r="P274" s="289"/>
      <c r="Q274" s="289"/>
      <c r="R274" s="289"/>
      <c r="S274" s="289"/>
      <c r="T274" s="289"/>
    </row>
    <row r="275" spans="4:20" ht="15.75" customHeight="1">
      <c r="D275" s="289"/>
      <c r="E275" s="289"/>
      <c r="F275" s="289"/>
      <c r="G275" s="289"/>
      <c r="H275" s="289"/>
      <c r="I275" s="289"/>
      <c r="J275" s="289"/>
      <c r="K275" s="289"/>
      <c r="L275" s="289"/>
      <c r="M275" s="289"/>
      <c r="N275" s="289"/>
      <c r="O275" s="289"/>
      <c r="P275" s="289"/>
      <c r="Q275" s="289"/>
      <c r="R275" s="289"/>
      <c r="S275" s="289"/>
      <c r="T275" s="289"/>
    </row>
    <row r="276" spans="4:20" ht="15.75" customHeight="1">
      <c r="D276" s="289"/>
      <c r="E276" s="289"/>
      <c r="F276" s="289"/>
      <c r="G276" s="289"/>
      <c r="H276" s="289"/>
      <c r="I276" s="289"/>
      <c r="J276" s="289"/>
      <c r="K276" s="289"/>
      <c r="L276" s="289"/>
      <c r="M276" s="289"/>
      <c r="N276" s="289"/>
      <c r="O276" s="289"/>
      <c r="P276" s="289"/>
      <c r="Q276" s="289"/>
      <c r="R276" s="289"/>
      <c r="S276" s="289"/>
      <c r="T276" s="289"/>
    </row>
    <row r="277" spans="4:20" ht="15.75" customHeight="1">
      <c r="D277" s="289"/>
      <c r="E277" s="289"/>
      <c r="F277" s="289"/>
      <c r="G277" s="289"/>
      <c r="H277" s="289"/>
      <c r="I277" s="289"/>
      <c r="J277" s="289"/>
      <c r="K277" s="289"/>
      <c r="L277" s="289"/>
      <c r="M277" s="289"/>
      <c r="N277" s="289"/>
      <c r="O277" s="289"/>
      <c r="P277" s="289"/>
      <c r="Q277" s="289"/>
      <c r="R277" s="289"/>
      <c r="S277" s="289"/>
      <c r="T277" s="289"/>
    </row>
    <row r="278" spans="4:20" ht="15.75" customHeight="1">
      <c r="D278" s="289"/>
      <c r="E278" s="289"/>
      <c r="F278" s="289"/>
      <c r="G278" s="289"/>
      <c r="H278" s="289"/>
      <c r="I278" s="289"/>
      <c r="J278" s="289"/>
      <c r="K278" s="289"/>
      <c r="L278" s="289"/>
      <c r="M278" s="289"/>
      <c r="N278" s="289"/>
      <c r="O278" s="289"/>
      <c r="P278" s="289"/>
      <c r="Q278" s="289"/>
      <c r="R278" s="289"/>
      <c r="S278" s="289"/>
      <c r="T278" s="289"/>
    </row>
    <row r="279" spans="4:20" ht="15.75" customHeight="1">
      <c r="D279" s="289"/>
      <c r="E279" s="289"/>
      <c r="F279" s="289"/>
      <c r="G279" s="289"/>
      <c r="H279" s="289"/>
      <c r="I279" s="289"/>
      <c r="J279" s="289"/>
      <c r="K279" s="289"/>
      <c r="L279" s="289"/>
      <c r="M279" s="289"/>
      <c r="N279" s="289"/>
      <c r="O279" s="289"/>
      <c r="P279" s="289"/>
      <c r="Q279" s="289"/>
      <c r="R279" s="289"/>
      <c r="S279" s="289"/>
      <c r="T279" s="289"/>
    </row>
    <row r="280" spans="4:20" ht="15.75" customHeight="1">
      <c r="D280" s="289"/>
      <c r="E280" s="289"/>
      <c r="F280" s="289"/>
      <c r="G280" s="289"/>
      <c r="H280" s="289"/>
      <c r="I280" s="289"/>
      <c r="J280" s="289"/>
      <c r="K280" s="289"/>
      <c r="L280" s="289"/>
      <c r="M280" s="289"/>
      <c r="N280" s="289"/>
      <c r="O280" s="289"/>
      <c r="P280" s="289"/>
      <c r="Q280" s="289"/>
      <c r="R280" s="289"/>
      <c r="S280" s="289"/>
      <c r="T280" s="289"/>
    </row>
    <row r="281" spans="4:20" ht="15.75" customHeight="1">
      <c r="D281" s="289"/>
      <c r="E281" s="289"/>
      <c r="F281" s="289"/>
      <c r="G281" s="289"/>
      <c r="H281" s="289"/>
      <c r="I281" s="289"/>
      <c r="J281" s="289"/>
      <c r="K281" s="289"/>
      <c r="L281" s="289"/>
      <c r="M281" s="289"/>
      <c r="N281" s="289"/>
      <c r="O281" s="289"/>
      <c r="P281" s="289"/>
      <c r="Q281" s="289"/>
      <c r="R281" s="289"/>
      <c r="S281" s="289"/>
      <c r="T281" s="289"/>
    </row>
    <row r="282" spans="4:20" ht="15.75" customHeight="1">
      <c r="D282" s="289"/>
      <c r="E282" s="289"/>
      <c r="F282" s="289"/>
      <c r="G282" s="289"/>
      <c r="H282" s="289"/>
      <c r="I282" s="289"/>
      <c r="J282" s="289"/>
      <c r="K282" s="289"/>
      <c r="L282" s="289"/>
      <c r="M282" s="289"/>
      <c r="N282" s="289"/>
      <c r="O282" s="289"/>
      <c r="P282" s="289"/>
      <c r="Q282" s="289"/>
      <c r="R282" s="289"/>
      <c r="S282" s="289"/>
      <c r="T282" s="289"/>
    </row>
    <row r="283" spans="4:20" ht="15.75" customHeight="1">
      <c r="D283" s="289"/>
      <c r="E283" s="289"/>
      <c r="F283" s="289"/>
      <c r="G283" s="289"/>
      <c r="H283" s="289"/>
      <c r="I283" s="289"/>
      <c r="J283" s="289"/>
      <c r="K283" s="289"/>
      <c r="L283" s="289"/>
      <c r="M283" s="289"/>
      <c r="N283" s="289"/>
      <c r="O283" s="289"/>
      <c r="P283" s="289"/>
      <c r="Q283" s="289"/>
      <c r="R283" s="289"/>
      <c r="S283" s="289"/>
      <c r="T283" s="289"/>
    </row>
    <row r="284" spans="4:20" ht="15.75" customHeight="1">
      <c r="D284" s="289"/>
      <c r="E284" s="289"/>
      <c r="F284" s="289"/>
      <c r="G284" s="289"/>
      <c r="H284" s="289"/>
      <c r="I284" s="289"/>
      <c r="J284" s="289"/>
      <c r="K284" s="289"/>
      <c r="L284" s="289"/>
      <c r="M284" s="289"/>
      <c r="N284" s="289"/>
      <c r="O284" s="289"/>
      <c r="P284" s="289"/>
      <c r="Q284" s="289"/>
      <c r="R284" s="289"/>
      <c r="S284" s="289"/>
      <c r="T284" s="289"/>
    </row>
    <row r="285" spans="4:20" ht="15.75" customHeight="1">
      <c r="D285" s="289"/>
      <c r="E285" s="289"/>
      <c r="F285" s="289"/>
      <c r="G285" s="289"/>
      <c r="H285" s="289"/>
      <c r="I285" s="289"/>
      <c r="J285" s="289"/>
      <c r="K285" s="289"/>
      <c r="L285" s="289"/>
      <c r="M285" s="289"/>
      <c r="N285" s="289"/>
      <c r="O285" s="289"/>
      <c r="P285" s="289"/>
      <c r="Q285" s="289"/>
      <c r="R285" s="289"/>
      <c r="S285" s="289"/>
      <c r="T285" s="289"/>
    </row>
    <row r="286" spans="4:20" ht="15.75" customHeight="1">
      <c r="D286" s="289"/>
      <c r="E286" s="289"/>
      <c r="F286" s="289"/>
      <c r="G286" s="289"/>
      <c r="H286" s="289"/>
      <c r="I286" s="289"/>
      <c r="J286" s="289"/>
      <c r="K286" s="289"/>
      <c r="L286" s="289"/>
      <c r="M286" s="289"/>
      <c r="N286" s="289"/>
      <c r="O286" s="289"/>
      <c r="P286" s="289"/>
      <c r="Q286" s="289"/>
      <c r="R286" s="289"/>
      <c r="S286" s="289"/>
      <c r="T286" s="289"/>
    </row>
    <row r="287" spans="4:20" ht="15.75" customHeight="1">
      <c r="D287" s="289"/>
      <c r="E287" s="289"/>
      <c r="F287" s="289"/>
      <c r="G287" s="289"/>
      <c r="H287" s="289"/>
      <c r="I287" s="289"/>
      <c r="J287" s="289"/>
      <c r="K287" s="289"/>
      <c r="L287" s="289"/>
      <c r="M287" s="289"/>
      <c r="N287" s="289"/>
      <c r="O287" s="289"/>
      <c r="P287" s="289"/>
      <c r="Q287" s="289"/>
      <c r="R287" s="289"/>
      <c r="S287" s="289"/>
      <c r="T287" s="289"/>
    </row>
    <row r="288" spans="4:20" ht="15.75" customHeight="1">
      <c r="D288" s="289"/>
      <c r="E288" s="289"/>
      <c r="F288" s="289"/>
      <c r="G288" s="289"/>
      <c r="H288" s="289"/>
      <c r="I288" s="289"/>
      <c r="J288" s="289"/>
      <c r="K288" s="289"/>
      <c r="L288" s="289"/>
      <c r="M288" s="289"/>
      <c r="N288" s="289"/>
      <c r="O288" s="289"/>
      <c r="P288" s="289"/>
      <c r="Q288" s="289"/>
      <c r="R288" s="289"/>
      <c r="S288" s="289"/>
      <c r="T288" s="289"/>
    </row>
    <row r="289" spans="4:20" ht="15.75" customHeight="1">
      <c r="D289" s="289"/>
      <c r="E289" s="289"/>
      <c r="F289" s="289"/>
      <c r="G289" s="289"/>
      <c r="H289" s="289"/>
      <c r="I289" s="289"/>
      <c r="J289" s="289"/>
      <c r="K289" s="289"/>
      <c r="L289" s="289"/>
      <c r="M289" s="289"/>
      <c r="N289" s="289"/>
      <c r="O289" s="289"/>
      <c r="P289" s="289"/>
      <c r="Q289" s="289"/>
      <c r="R289" s="289"/>
      <c r="S289" s="289"/>
      <c r="T289" s="289"/>
    </row>
    <row r="290" spans="4:20" ht="15.75" customHeight="1">
      <c r="D290" s="289"/>
      <c r="E290" s="289"/>
      <c r="F290" s="289"/>
      <c r="G290" s="289"/>
      <c r="H290" s="289"/>
      <c r="I290" s="289"/>
      <c r="J290" s="289"/>
      <c r="K290" s="289"/>
      <c r="L290" s="289"/>
      <c r="M290" s="289"/>
      <c r="N290" s="289"/>
      <c r="O290" s="289"/>
      <c r="P290" s="289"/>
      <c r="Q290" s="289"/>
      <c r="R290" s="289"/>
      <c r="S290" s="289"/>
      <c r="T290" s="289"/>
    </row>
    <row r="291" spans="4:20" ht="15.75" customHeight="1">
      <c r="D291" s="289"/>
      <c r="E291" s="289"/>
      <c r="F291" s="289"/>
      <c r="G291" s="289"/>
      <c r="H291" s="289"/>
      <c r="I291" s="289"/>
      <c r="J291" s="289"/>
      <c r="K291" s="289"/>
      <c r="L291" s="289"/>
      <c r="M291" s="289"/>
      <c r="N291" s="289"/>
      <c r="O291" s="289"/>
      <c r="P291" s="289"/>
      <c r="Q291" s="289"/>
      <c r="R291" s="289"/>
      <c r="S291" s="289"/>
      <c r="T291" s="289"/>
    </row>
    <row r="292" spans="4:20" ht="15.75" customHeight="1">
      <c r="D292" s="289"/>
      <c r="E292" s="289"/>
      <c r="F292" s="289"/>
      <c r="G292" s="289"/>
      <c r="H292" s="289"/>
      <c r="I292" s="289"/>
      <c r="J292" s="289"/>
      <c r="K292" s="289"/>
      <c r="L292" s="289"/>
      <c r="M292" s="289"/>
      <c r="N292" s="289"/>
      <c r="O292" s="289"/>
      <c r="P292" s="289"/>
      <c r="Q292" s="289"/>
      <c r="R292" s="289"/>
      <c r="S292" s="289"/>
      <c r="T292" s="289"/>
    </row>
    <row r="293" spans="4:20" ht="15.75" customHeight="1">
      <c r="D293" s="289"/>
      <c r="E293" s="289"/>
      <c r="F293" s="289"/>
      <c r="G293" s="289"/>
      <c r="H293" s="289"/>
      <c r="I293" s="289"/>
      <c r="J293" s="289"/>
      <c r="K293" s="289"/>
      <c r="L293" s="289"/>
      <c r="M293" s="289"/>
      <c r="N293" s="289"/>
      <c r="O293" s="289"/>
      <c r="P293" s="289"/>
      <c r="Q293" s="289"/>
      <c r="R293" s="289"/>
      <c r="S293" s="289"/>
      <c r="T293" s="289"/>
    </row>
    <row r="294" spans="4:20" ht="15.75" customHeight="1">
      <c r="D294" s="289"/>
      <c r="E294" s="289"/>
      <c r="F294" s="289"/>
      <c r="G294" s="289"/>
      <c r="H294" s="289"/>
      <c r="I294" s="289"/>
      <c r="J294" s="289"/>
      <c r="K294" s="289"/>
      <c r="L294" s="289"/>
      <c r="M294" s="289"/>
      <c r="N294" s="289"/>
      <c r="O294" s="289"/>
      <c r="P294" s="289"/>
      <c r="Q294" s="289"/>
      <c r="R294" s="289"/>
      <c r="S294" s="289"/>
      <c r="T294" s="289"/>
    </row>
    <row r="295" spans="4:20" ht="15.75" customHeight="1">
      <c r="D295" s="289"/>
      <c r="E295" s="289"/>
      <c r="F295" s="289"/>
      <c r="G295" s="289"/>
      <c r="H295" s="289"/>
      <c r="I295" s="289"/>
      <c r="J295" s="289"/>
      <c r="K295" s="289"/>
      <c r="L295" s="289"/>
      <c r="M295" s="289"/>
      <c r="N295" s="289"/>
      <c r="O295" s="289"/>
      <c r="P295" s="289"/>
      <c r="Q295" s="289"/>
      <c r="R295" s="289"/>
      <c r="S295" s="289"/>
      <c r="T295" s="289"/>
    </row>
    <row r="296" spans="4:20" ht="15.75" customHeight="1">
      <c r="D296" s="289"/>
      <c r="E296" s="289"/>
      <c r="F296" s="289"/>
      <c r="G296" s="289"/>
      <c r="H296" s="289"/>
      <c r="I296" s="289"/>
      <c r="J296" s="289"/>
      <c r="K296" s="289"/>
      <c r="L296" s="289"/>
      <c r="M296" s="289"/>
      <c r="N296" s="289"/>
      <c r="O296" s="289"/>
      <c r="P296" s="289"/>
      <c r="Q296" s="289"/>
      <c r="R296" s="289"/>
      <c r="S296" s="289"/>
      <c r="T296" s="289"/>
    </row>
    <row r="297" spans="4:20" ht="15.75" customHeight="1">
      <c r="D297" s="289"/>
      <c r="E297" s="289"/>
      <c r="F297" s="289"/>
      <c r="G297" s="289"/>
      <c r="H297" s="289"/>
      <c r="I297" s="289"/>
      <c r="J297" s="289"/>
      <c r="K297" s="289"/>
      <c r="L297" s="289"/>
      <c r="M297" s="289"/>
      <c r="N297" s="289"/>
      <c r="O297" s="289"/>
      <c r="P297" s="289"/>
      <c r="Q297" s="289"/>
      <c r="R297" s="289"/>
      <c r="S297" s="289"/>
      <c r="T297" s="289"/>
    </row>
    <row r="298" spans="4:20" ht="15.75" customHeight="1">
      <c r="D298" s="289"/>
      <c r="E298" s="289"/>
      <c r="F298" s="289"/>
      <c r="G298" s="289"/>
      <c r="H298" s="289"/>
      <c r="I298" s="289"/>
      <c r="J298" s="289"/>
      <c r="K298" s="289"/>
      <c r="L298" s="289"/>
      <c r="M298" s="289"/>
      <c r="N298" s="289"/>
      <c r="O298" s="289"/>
      <c r="P298" s="289"/>
      <c r="Q298" s="289"/>
      <c r="R298" s="289"/>
      <c r="S298" s="289"/>
      <c r="T298" s="289"/>
    </row>
    <row r="299" spans="4:20" ht="15.75" customHeight="1">
      <c r="D299" s="289"/>
      <c r="E299" s="289"/>
      <c r="F299" s="289"/>
      <c r="G299" s="289"/>
      <c r="H299" s="289"/>
      <c r="I299" s="289"/>
      <c r="J299" s="289"/>
      <c r="K299" s="289"/>
      <c r="L299" s="289"/>
      <c r="M299" s="289"/>
      <c r="N299" s="289"/>
      <c r="O299" s="289"/>
      <c r="P299" s="289"/>
      <c r="Q299" s="289"/>
      <c r="R299" s="289"/>
      <c r="S299" s="289"/>
      <c r="T299" s="289"/>
    </row>
    <row r="300" spans="4:20" ht="15.75" customHeight="1">
      <c r="D300" s="289"/>
      <c r="E300" s="289"/>
      <c r="F300" s="289"/>
      <c r="G300" s="289"/>
      <c r="H300" s="289"/>
      <c r="I300" s="289"/>
      <c r="J300" s="289"/>
      <c r="K300" s="289"/>
      <c r="L300" s="289"/>
      <c r="M300" s="289"/>
      <c r="N300" s="289"/>
      <c r="O300" s="289"/>
      <c r="P300" s="289"/>
      <c r="Q300" s="289"/>
      <c r="R300" s="289"/>
      <c r="S300" s="289"/>
      <c r="T300" s="289"/>
    </row>
    <row r="301" spans="4:20" ht="15.75" customHeight="1">
      <c r="D301" s="289"/>
      <c r="E301" s="289"/>
      <c r="F301" s="289"/>
      <c r="G301" s="289"/>
      <c r="H301" s="289"/>
      <c r="I301" s="289"/>
      <c r="J301" s="289"/>
      <c r="K301" s="289"/>
      <c r="L301" s="289"/>
      <c r="M301" s="289"/>
      <c r="N301" s="289"/>
      <c r="O301" s="289"/>
      <c r="P301" s="289"/>
      <c r="Q301" s="289"/>
      <c r="R301" s="289"/>
      <c r="S301" s="289"/>
      <c r="T301" s="289"/>
    </row>
    <row r="302" spans="4:20" ht="15.75" customHeight="1">
      <c r="D302" s="289"/>
      <c r="E302" s="289"/>
      <c r="F302" s="289"/>
      <c r="G302" s="289"/>
      <c r="H302" s="289"/>
      <c r="I302" s="289"/>
      <c r="J302" s="289"/>
      <c r="K302" s="289"/>
      <c r="L302" s="289"/>
      <c r="M302" s="289"/>
      <c r="N302" s="289"/>
      <c r="O302" s="289"/>
      <c r="P302" s="289"/>
      <c r="Q302" s="289"/>
      <c r="R302" s="289"/>
      <c r="S302" s="289"/>
      <c r="T302" s="289"/>
    </row>
    <row r="303" spans="4:20" ht="15.75" customHeight="1">
      <c r="D303" s="289"/>
      <c r="E303" s="289"/>
      <c r="F303" s="289"/>
      <c r="G303" s="289"/>
      <c r="H303" s="289"/>
      <c r="I303" s="289"/>
      <c r="J303" s="289"/>
      <c r="K303" s="289"/>
      <c r="L303" s="289"/>
      <c r="M303" s="289"/>
      <c r="N303" s="289"/>
      <c r="O303" s="289"/>
      <c r="P303" s="289"/>
      <c r="Q303" s="289"/>
      <c r="R303" s="289"/>
      <c r="S303" s="289"/>
      <c r="T303" s="289"/>
    </row>
    <row r="304" spans="4:20" ht="15.75" customHeight="1">
      <c r="D304" s="289"/>
      <c r="E304" s="289"/>
      <c r="F304" s="289"/>
      <c r="G304" s="289"/>
      <c r="H304" s="289"/>
      <c r="I304" s="289"/>
      <c r="J304" s="289"/>
      <c r="K304" s="289"/>
      <c r="L304" s="289"/>
      <c r="M304" s="289"/>
      <c r="N304" s="289"/>
      <c r="O304" s="289"/>
      <c r="P304" s="289"/>
      <c r="Q304" s="289"/>
      <c r="R304" s="289"/>
      <c r="S304" s="289"/>
      <c r="T304" s="289"/>
    </row>
    <row r="305" spans="4:20" ht="15.75" customHeight="1">
      <c r="D305" s="289"/>
      <c r="E305" s="289"/>
      <c r="F305" s="289"/>
      <c r="G305" s="289"/>
      <c r="H305" s="289"/>
      <c r="I305" s="289"/>
      <c r="J305" s="289"/>
      <c r="K305" s="289"/>
      <c r="L305" s="289"/>
      <c r="M305" s="289"/>
      <c r="N305" s="289"/>
      <c r="O305" s="289"/>
      <c r="P305" s="289"/>
      <c r="Q305" s="289"/>
      <c r="R305" s="289"/>
      <c r="S305" s="289"/>
      <c r="T305" s="289"/>
    </row>
    <row r="306" spans="4:20" ht="15.75" customHeight="1">
      <c r="D306" s="289"/>
      <c r="E306" s="289"/>
      <c r="F306" s="289"/>
      <c r="G306" s="289"/>
      <c r="H306" s="289"/>
      <c r="I306" s="289"/>
      <c r="J306" s="289"/>
      <c r="K306" s="289"/>
      <c r="L306" s="289"/>
      <c r="M306" s="289"/>
      <c r="N306" s="289"/>
      <c r="O306" s="289"/>
      <c r="P306" s="289"/>
      <c r="Q306" s="289"/>
      <c r="R306" s="289"/>
      <c r="S306" s="289"/>
      <c r="T306" s="289"/>
    </row>
    <row r="307" spans="4:20" ht="15.75" customHeight="1">
      <c r="D307" s="289"/>
      <c r="E307" s="289"/>
      <c r="F307" s="289"/>
      <c r="G307" s="289"/>
      <c r="H307" s="289"/>
      <c r="I307" s="289"/>
      <c r="J307" s="289"/>
      <c r="K307" s="289"/>
      <c r="L307" s="289"/>
      <c r="M307" s="289"/>
      <c r="N307" s="289"/>
      <c r="O307" s="289"/>
      <c r="P307" s="289"/>
      <c r="Q307" s="289"/>
      <c r="R307" s="289"/>
      <c r="S307" s="289"/>
      <c r="T307" s="289"/>
    </row>
    <row r="308" spans="4:20" ht="15.75" customHeight="1">
      <c r="D308" s="289"/>
      <c r="E308" s="289"/>
      <c r="F308" s="289"/>
      <c r="G308" s="289"/>
      <c r="H308" s="289"/>
      <c r="I308" s="289"/>
      <c r="J308" s="289"/>
      <c r="K308" s="289"/>
      <c r="L308" s="289"/>
      <c r="M308" s="289"/>
      <c r="N308" s="289"/>
      <c r="O308" s="289"/>
      <c r="P308" s="289"/>
      <c r="Q308" s="289"/>
      <c r="R308" s="289"/>
      <c r="S308" s="289"/>
      <c r="T308" s="289"/>
    </row>
    <row r="309" spans="4:20" ht="15.75" customHeight="1">
      <c r="D309" s="289"/>
      <c r="E309" s="289"/>
      <c r="F309" s="289"/>
      <c r="G309" s="289"/>
      <c r="H309" s="289"/>
      <c r="I309" s="289"/>
      <c r="J309" s="289"/>
      <c r="K309" s="289"/>
      <c r="L309" s="289"/>
      <c r="M309" s="289"/>
      <c r="N309" s="289"/>
      <c r="O309" s="289"/>
      <c r="P309" s="289"/>
      <c r="Q309" s="289"/>
      <c r="R309" s="289"/>
      <c r="S309" s="289"/>
      <c r="T309" s="289"/>
    </row>
    <row r="310" spans="4:20" ht="15.75" customHeight="1">
      <c r="D310" s="289"/>
      <c r="E310" s="289"/>
      <c r="F310" s="289"/>
      <c r="G310" s="289"/>
      <c r="H310" s="289"/>
      <c r="I310" s="289"/>
      <c r="J310" s="289"/>
      <c r="K310" s="289"/>
      <c r="L310" s="289"/>
      <c r="M310" s="289"/>
      <c r="N310" s="289"/>
      <c r="O310" s="289"/>
      <c r="P310" s="289"/>
      <c r="Q310" s="289"/>
      <c r="R310" s="289"/>
      <c r="S310" s="289"/>
      <c r="T310" s="289"/>
    </row>
    <row r="311" spans="4:20" ht="15.75" customHeight="1">
      <c r="D311" s="289"/>
      <c r="E311" s="289"/>
      <c r="F311" s="289"/>
      <c r="G311" s="289"/>
      <c r="H311" s="289"/>
      <c r="I311" s="289"/>
      <c r="J311" s="289"/>
      <c r="K311" s="289"/>
      <c r="L311" s="289"/>
      <c r="M311" s="289"/>
      <c r="N311" s="289"/>
      <c r="O311" s="289"/>
      <c r="P311" s="289"/>
      <c r="Q311" s="289"/>
      <c r="R311" s="289"/>
      <c r="S311" s="289"/>
      <c r="T311" s="289"/>
    </row>
    <row r="312" spans="4:20" ht="15.75" customHeight="1">
      <c r="D312" s="289"/>
      <c r="E312" s="289"/>
      <c r="F312" s="289"/>
      <c r="G312" s="289"/>
      <c r="H312" s="289"/>
      <c r="I312" s="289"/>
      <c r="J312" s="289"/>
      <c r="K312" s="289"/>
      <c r="L312" s="289"/>
      <c r="M312" s="289"/>
      <c r="N312" s="289"/>
      <c r="O312" s="289"/>
      <c r="P312" s="289"/>
      <c r="Q312" s="289"/>
      <c r="R312" s="289"/>
      <c r="S312" s="289"/>
      <c r="T312" s="289"/>
    </row>
    <row r="313" spans="4:20" ht="15.75" customHeight="1">
      <c r="D313" s="289"/>
      <c r="E313" s="289"/>
      <c r="F313" s="289"/>
      <c r="G313" s="289"/>
      <c r="H313" s="289"/>
      <c r="I313" s="289"/>
      <c r="J313" s="289"/>
      <c r="K313" s="289"/>
      <c r="L313" s="289"/>
      <c r="M313" s="289"/>
      <c r="N313" s="289"/>
      <c r="O313" s="289"/>
      <c r="P313" s="289"/>
      <c r="Q313" s="289"/>
      <c r="R313" s="289"/>
      <c r="S313" s="289"/>
      <c r="T313" s="289"/>
    </row>
    <row r="314" spans="4:20" ht="15.75" customHeight="1">
      <c r="D314" s="289"/>
      <c r="E314" s="289"/>
      <c r="F314" s="289"/>
      <c r="G314" s="289"/>
      <c r="H314" s="289"/>
      <c r="I314" s="289"/>
      <c r="J314" s="289"/>
      <c r="K314" s="289"/>
      <c r="L314" s="289"/>
      <c r="M314" s="289"/>
      <c r="N314" s="289"/>
      <c r="O314" s="289"/>
      <c r="P314" s="289"/>
      <c r="Q314" s="289"/>
      <c r="R314" s="289"/>
      <c r="S314" s="289"/>
      <c r="T314" s="289"/>
    </row>
    <row r="315" spans="4:20" ht="15.75" customHeight="1">
      <c r="D315" s="289"/>
      <c r="E315" s="289"/>
      <c r="F315" s="289"/>
      <c r="G315" s="289"/>
      <c r="H315" s="289"/>
      <c r="I315" s="289"/>
      <c r="J315" s="289"/>
      <c r="K315" s="289"/>
      <c r="L315" s="289"/>
      <c r="M315" s="289"/>
      <c r="N315" s="289"/>
      <c r="O315" s="289"/>
      <c r="P315" s="289"/>
      <c r="Q315" s="289"/>
      <c r="R315" s="289"/>
      <c r="S315" s="289"/>
      <c r="T315" s="289"/>
    </row>
    <row r="316" spans="4:20" ht="15.75" customHeight="1">
      <c r="D316" s="289"/>
      <c r="E316" s="289"/>
      <c r="F316" s="289"/>
      <c r="G316" s="289"/>
      <c r="H316" s="289"/>
      <c r="I316" s="289"/>
      <c r="J316" s="289"/>
      <c r="K316" s="289"/>
      <c r="L316" s="289"/>
      <c r="M316" s="289"/>
      <c r="N316" s="289"/>
      <c r="O316" s="289"/>
      <c r="P316" s="289"/>
      <c r="Q316" s="289"/>
      <c r="R316" s="289"/>
      <c r="S316" s="289"/>
      <c r="T316" s="289"/>
    </row>
    <row r="317" spans="4:20" ht="15.75" customHeight="1">
      <c r="D317" s="289"/>
      <c r="E317" s="289"/>
      <c r="F317" s="289"/>
      <c r="G317" s="289"/>
      <c r="H317" s="289"/>
      <c r="I317" s="289"/>
      <c r="J317" s="289"/>
      <c r="K317" s="289"/>
      <c r="L317" s="289"/>
      <c r="M317" s="289"/>
      <c r="N317" s="289"/>
      <c r="O317" s="289"/>
      <c r="P317" s="289"/>
      <c r="Q317" s="289"/>
      <c r="R317" s="289"/>
      <c r="S317" s="289"/>
      <c r="T317" s="289"/>
    </row>
    <row r="318" spans="4:20" ht="15.75" customHeight="1">
      <c r="D318" s="289"/>
      <c r="E318" s="289"/>
      <c r="F318" s="289"/>
      <c r="G318" s="289"/>
      <c r="H318" s="289"/>
      <c r="I318" s="289"/>
      <c r="J318" s="289"/>
      <c r="K318" s="289"/>
      <c r="L318" s="289"/>
      <c r="M318" s="289"/>
      <c r="N318" s="289"/>
      <c r="O318" s="289"/>
      <c r="P318" s="289"/>
      <c r="Q318" s="289"/>
      <c r="R318" s="289"/>
      <c r="S318" s="289"/>
      <c r="T318" s="289"/>
    </row>
    <row r="319" spans="4:20" ht="15.75" customHeight="1">
      <c r="D319" s="289"/>
      <c r="E319" s="289"/>
      <c r="F319" s="289"/>
      <c r="G319" s="289"/>
      <c r="H319" s="289"/>
      <c r="I319" s="289"/>
      <c r="J319" s="289"/>
      <c r="K319" s="289"/>
      <c r="L319" s="289"/>
      <c r="M319" s="289"/>
      <c r="N319" s="289"/>
      <c r="O319" s="289"/>
      <c r="P319" s="289"/>
      <c r="Q319" s="289"/>
      <c r="R319" s="289"/>
      <c r="S319" s="289"/>
      <c r="T319" s="289"/>
    </row>
    <row r="320" spans="4:20" ht="15.75" customHeight="1">
      <c r="D320" s="289"/>
      <c r="E320" s="289"/>
      <c r="F320" s="289"/>
      <c r="G320" s="289"/>
      <c r="H320" s="289"/>
      <c r="I320" s="289"/>
      <c r="J320" s="289"/>
      <c r="K320" s="289"/>
      <c r="L320" s="289"/>
      <c r="M320" s="289"/>
      <c r="N320" s="289"/>
      <c r="O320" s="289"/>
      <c r="P320" s="289"/>
      <c r="Q320" s="289"/>
      <c r="R320" s="289"/>
      <c r="S320" s="289"/>
      <c r="T320" s="289"/>
    </row>
    <row r="321" spans="4:20" ht="15.75" customHeight="1">
      <c r="D321" s="289"/>
      <c r="E321" s="289"/>
      <c r="F321" s="289"/>
      <c r="G321" s="289"/>
      <c r="H321" s="289"/>
      <c r="I321" s="289"/>
      <c r="J321" s="289"/>
      <c r="K321" s="289"/>
      <c r="L321" s="289"/>
      <c r="M321" s="289"/>
      <c r="N321" s="289"/>
      <c r="O321" s="289"/>
      <c r="P321" s="289"/>
      <c r="Q321" s="289"/>
      <c r="R321" s="289"/>
      <c r="S321" s="289"/>
      <c r="T321" s="289"/>
    </row>
    <row r="322" spans="4:20" ht="15.75" customHeight="1">
      <c r="D322" s="289"/>
      <c r="E322" s="289"/>
      <c r="F322" s="289"/>
      <c r="G322" s="289"/>
      <c r="H322" s="289"/>
      <c r="I322" s="289"/>
      <c r="J322" s="289"/>
      <c r="K322" s="289"/>
      <c r="L322" s="289"/>
      <c r="M322" s="289"/>
      <c r="N322" s="289"/>
      <c r="O322" s="289"/>
      <c r="P322" s="289"/>
      <c r="Q322" s="289"/>
      <c r="R322" s="289"/>
      <c r="S322" s="289"/>
      <c r="T322" s="289"/>
    </row>
    <row r="323" spans="4:20" ht="15.75" customHeight="1">
      <c r="D323" s="289"/>
      <c r="E323" s="289"/>
      <c r="F323" s="289"/>
      <c r="G323" s="289"/>
      <c r="H323" s="289"/>
      <c r="I323" s="289"/>
      <c r="J323" s="289"/>
      <c r="K323" s="289"/>
      <c r="L323" s="289"/>
      <c r="M323" s="289"/>
      <c r="N323" s="289"/>
      <c r="O323" s="289"/>
      <c r="P323" s="289"/>
      <c r="Q323" s="289"/>
      <c r="R323" s="289"/>
      <c r="S323" s="289"/>
      <c r="T323" s="289"/>
    </row>
    <row r="324" spans="4:20" ht="15.75" customHeight="1">
      <c r="D324" s="289"/>
      <c r="E324" s="289"/>
      <c r="F324" s="289"/>
      <c r="G324" s="289"/>
      <c r="H324" s="289"/>
      <c r="I324" s="289"/>
      <c r="J324" s="289"/>
      <c r="K324" s="289"/>
      <c r="L324" s="289"/>
      <c r="M324" s="289"/>
      <c r="N324" s="289"/>
      <c r="O324" s="289"/>
      <c r="P324" s="289"/>
      <c r="Q324" s="289"/>
      <c r="R324" s="289"/>
      <c r="S324" s="289"/>
      <c r="T324" s="289"/>
    </row>
    <row r="325" spans="4:20" ht="15.75" customHeight="1">
      <c r="D325" s="289"/>
      <c r="E325" s="289"/>
      <c r="F325" s="289"/>
      <c r="G325" s="289"/>
      <c r="H325" s="289"/>
      <c r="I325" s="289"/>
      <c r="J325" s="289"/>
      <c r="K325" s="289"/>
      <c r="L325" s="289"/>
      <c r="M325" s="289"/>
      <c r="N325" s="289"/>
      <c r="O325" s="289"/>
      <c r="P325" s="289"/>
      <c r="Q325" s="289"/>
      <c r="R325" s="289"/>
      <c r="S325" s="289"/>
      <c r="T325" s="289"/>
    </row>
    <row r="326" spans="4:20" ht="15.75" customHeight="1">
      <c r="D326" s="289"/>
      <c r="E326" s="289"/>
      <c r="F326" s="289"/>
      <c r="G326" s="289"/>
      <c r="H326" s="289"/>
      <c r="I326" s="289"/>
      <c r="J326" s="289"/>
      <c r="K326" s="289"/>
      <c r="L326" s="289"/>
      <c r="M326" s="289"/>
      <c r="N326" s="289"/>
      <c r="O326" s="289"/>
      <c r="P326" s="289"/>
      <c r="Q326" s="289"/>
      <c r="R326" s="289"/>
      <c r="S326" s="289"/>
      <c r="T326" s="289"/>
    </row>
    <row r="327" spans="4:20" ht="15.75" customHeight="1">
      <c r="D327" s="289"/>
      <c r="E327" s="289"/>
      <c r="F327" s="289"/>
      <c r="G327" s="289"/>
      <c r="H327" s="289"/>
      <c r="I327" s="289"/>
      <c r="J327" s="289"/>
      <c r="K327" s="289"/>
      <c r="L327" s="289"/>
      <c r="M327" s="289"/>
      <c r="N327" s="289"/>
      <c r="O327" s="289"/>
      <c r="P327" s="289"/>
      <c r="Q327" s="289"/>
      <c r="R327" s="289"/>
      <c r="S327" s="289"/>
      <c r="T327" s="289"/>
    </row>
    <row r="328" spans="4:20" ht="15.75" customHeight="1">
      <c r="D328" s="289"/>
      <c r="E328" s="289"/>
      <c r="F328" s="289"/>
      <c r="G328" s="289"/>
      <c r="H328" s="289"/>
      <c r="I328" s="289"/>
      <c r="J328" s="289"/>
      <c r="K328" s="289"/>
      <c r="L328" s="289"/>
      <c r="M328" s="289"/>
      <c r="N328" s="289"/>
      <c r="O328" s="289"/>
      <c r="P328" s="289"/>
      <c r="Q328" s="289"/>
      <c r="R328" s="289"/>
      <c r="S328" s="289"/>
      <c r="T328" s="289"/>
    </row>
    <row r="329" spans="4:20" ht="15.75" customHeight="1">
      <c r="D329" s="289"/>
      <c r="E329" s="289"/>
      <c r="F329" s="289"/>
      <c r="G329" s="289"/>
      <c r="H329" s="289"/>
      <c r="I329" s="289"/>
      <c r="J329" s="289"/>
      <c r="K329" s="289"/>
      <c r="L329" s="289"/>
      <c r="M329" s="289"/>
      <c r="N329" s="289"/>
      <c r="O329" s="289"/>
      <c r="P329" s="289"/>
      <c r="Q329" s="289"/>
      <c r="R329" s="289"/>
      <c r="S329" s="289"/>
      <c r="T329" s="289"/>
    </row>
    <row r="330" spans="4:20" ht="15.75" customHeight="1">
      <c r="D330" s="289"/>
      <c r="E330" s="289"/>
      <c r="F330" s="289"/>
      <c r="G330" s="289"/>
      <c r="H330" s="289"/>
      <c r="I330" s="289"/>
      <c r="J330" s="289"/>
      <c r="K330" s="289"/>
      <c r="L330" s="289"/>
      <c r="M330" s="289"/>
      <c r="N330" s="289"/>
      <c r="O330" s="289"/>
      <c r="P330" s="289"/>
      <c r="Q330" s="289"/>
      <c r="R330" s="289"/>
      <c r="S330" s="289"/>
      <c r="T330" s="289"/>
    </row>
    <row r="331" spans="4:20" ht="15.75" customHeight="1">
      <c r="D331" s="289"/>
      <c r="E331" s="289"/>
      <c r="F331" s="289"/>
      <c r="G331" s="289"/>
      <c r="H331" s="289"/>
      <c r="I331" s="289"/>
      <c r="J331" s="289"/>
      <c r="K331" s="289"/>
      <c r="L331" s="289"/>
      <c r="M331" s="289"/>
      <c r="N331" s="289"/>
      <c r="O331" s="289"/>
      <c r="P331" s="289"/>
      <c r="Q331" s="289"/>
      <c r="R331" s="289"/>
      <c r="S331" s="289"/>
      <c r="T331" s="289"/>
    </row>
    <row r="332" spans="4:20" ht="15.75" customHeight="1">
      <c r="D332" s="289"/>
      <c r="E332" s="289"/>
      <c r="F332" s="289"/>
      <c r="G332" s="289"/>
      <c r="H332" s="289"/>
      <c r="I332" s="289"/>
      <c r="J332" s="289"/>
      <c r="K332" s="289"/>
      <c r="L332" s="289"/>
      <c r="M332" s="289"/>
      <c r="N332" s="289"/>
      <c r="O332" s="289"/>
      <c r="P332" s="289"/>
      <c r="Q332" s="289"/>
      <c r="R332" s="289"/>
      <c r="S332" s="289"/>
      <c r="T332" s="289"/>
    </row>
    <row r="333" spans="4:20" ht="15.75" customHeight="1">
      <c r="D333" s="289"/>
      <c r="E333" s="289"/>
      <c r="F333" s="289"/>
      <c r="G333" s="289"/>
      <c r="H333" s="289"/>
      <c r="I333" s="289"/>
      <c r="J333" s="289"/>
      <c r="K333" s="289"/>
      <c r="L333" s="289"/>
      <c r="M333" s="289"/>
      <c r="N333" s="289"/>
      <c r="O333" s="289"/>
      <c r="P333" s="289"/>
      <c r="Q333" s="289"/>
      <c r="R333" s="289"/>
      <c r="S333" s="289"/>
      <c r="T333" s="289"/>
    </row>
    <row r="334" spans="4:20" ht="15.75" customHeight="1">
      <c r="D334" s="289"/>
      <c r="E334" s="289"/>
      <c r="F334" s="289"/>
      <c r="G334" s="289"/>
      <c r="H334" s="289"/>
      <c r="I334" s="289"/>
      <c r="J334" s="289"/>
      <c r="K334" s="289"/>
      <c r="L334" s="289"/>
      <c r="M334" s="289"/>
      <c r="N334" s="289"/>
      <c r="O334" s="289"/>
      <c r="P334" s="289"/>
      <c r="Q334" s="289"/>
      <c r="R334" s="289"/>
      <c r="S334" s="289"/>
      <c r="T334" s="289"/>
    </row>
    <row r="335" spans="4:20" ht="15.75" customHeight="1">
      <c r="D335" s="289"/>
      <c r="E335" s="289"/>
      <c r="F335" s="289"/>
      <c r="G335" s="289"/>
      <c r="H335" s="289"/>
      <c r="I335" s="289"/>
      <c r="J335" s="289"/>
      <c r="K335" s="289"/>
      <c r="L335" s="289"/>
      <c r="M335" s="289"/>
      <c r="N335" s="289"/>
      <c r="O335" s="289"/>
      <c r="P335" s="289"/>
      <c r="Q335" s="289"/>
      <c r="R335" s="289"/>
      <c r="S335" s="289"/>
      <c r="T335" s="289"/>
    </row>
    <row r="336" spans="4:20" ht="15.75" customHeight="1">
      <c r="D336" s="289"/>
      <c r="E336" s="289"/>
      <c r="F336" s="289"/>
      <c r="G336" s="289"/>
      <c r="H336" s="289"/>
      <c r="I336" s="289"/>
      <c r="J336" s="289"/>
      <c r="K336" s="289"/>
      <c r="L336" s="289"/>
      <c r="M336" s="289"/>
      <c r="N336" s="289"/>
      <c r="O336" s="289"/>
      <c r="P336" s="289"/>
      <c r="Q336" s="289"/>
      <c r="R336" s="289"/>
      <c r="S336" s="289"/>
      <c r="T336" s="289"/>
    </row>
    <row r="337" spans="4:20" ht="15.75" customHeight="1">
      <c r="D337" s="289"/>
      <c r="E337" s="289"/>
      <c r="F337" s="289"/>
      <c r="G337" s="289"/>
      <c r="H337" s="289"/>
      <c r="I337" s="289"/>
      <c r="J337" s="289"/>
      <c r="K337" s="289"/>
      <c r="L337" s="289"/>
      <c r="M337" s="289"/>
      <c r="N337" s="289"/>
      <c r="O337" s="289"/>
      <c r="P337" s="289"/>
      <c r="Q337" s="289"/>
      <c r="R337" s="289"/>
      <c r="S337" s="289"/>
      <c r="T337" s="289"/>
    </row>
    <row r="338" spans="4:20" ht="15.75" customHeight="1">
      <c r="D338" s="289"/>
      <c r="E338" s="289"/>
      <c r="F338" s="289"/>
      <c r="G338" s="289"/>
      <c r="H338" s="289"/>
      <c r="I338" s="289"/>
      <c r="J338" s="289"/>
      <c r="K338" s="289"/>
      <c r="L338" s="289"/>
      <c r="M338" s="289"/>
      <c r="N338" s="289"/>
      <c r="O338" s="289"/>
      <c r="P338" s="289"/>
      <c r="Q338" s="289"/>
      <c r="R338" s="289"/>
      <c r="S338" s="289"/>
      <c r="T338" s="289"/>
    </row>
    <row r="339" spans="4:20" ht="15.75" customHeight="1">
      <c r="D339" s="289"/>
      <c r="E339" s="289"/>
      <c r="F339" s="289"/>
      <c r="G339" s="289"/>
      <c r="H339" s="289"/>
      <c r="I339" s="289"/>
      <c r="J339" s="289"/>
      <c r="K339" s="289"/>
      <c r="L339" s="289"/>
      <c r="M339" s="289"/>
      <c r="N339" s="289"/>
      <c r="O339" s="289"/>
      <c r="P339" s="289"/>
      <c r="Q339" s="289"/>
      <c r="R339" s="289"/>
      <c r="S339" s="289"/>
      <c r="T339" s="289"/>
    </row>
    <row r="340" spans="4:20" ht="15.75" customHeight="1">
      <c r="D340" s="289"/>
      <c r="E340" s="289"/>
      <c r="F340" s="289"/>
      <c r="G340" s="289"/>
      <c r="H340" s="289"/>
      <c r="I340" s="289"/>
      <c r="J340" s="289"/>
      <c r="K340" s="289"/>
      <c r="L340" s="289"/>
      <c r="M340" s="289"/>
      <c r="N340" s="289"/>
      <c r="O340" s="289"/>
      <c r="P340" s="289"/>
      <c r="Q340" s="289"/>
      <c r="R340" s="289"/>
      <c r="S340" s="289"/>
      <c r="T340" s="289"/>
    </row>
    <row r="341" spans="4:20" ht="15.75" customHeight="1">
      <c r="D341" s="289"/>
      <c r="E341" s="289"/>
      <c r="F341" s="289"/>
      <c r="G341" s="289"/>
      <c r="H341" s="289"/>
      <c r="I341" s="289"/>
      <c r="J341" s="289"/>
      <c r="K341" s="289"/>
      <c r="L341" s="289"/>
      <c r="M341" s="289"/>
      <c r="N341" s="289"/>
      <c r="O341" s="289"/>
      <c r="P341" s="289"/>
      <c r="Q341" s="289"/>
      <c r="R341" s="289"/>
      <c r="S341" s="289"/>
      <c r="T341" s="289"/>
    </row>
    <row r="342" spans="4:20" ht="15.75" customHeight="1">
      <c r="D342" s="289"/>
      <c r="E342" s="289"/>
      <c r="F342" s="289"/>
      <c r="G342" s="289"/>
      <c r="H342" s="289"/>
      <c r="I342" s="289"/>
      <c r="J342" s="289"/>
      <c r="K342" s="289"/>
      <c r="L342" s="289"/>
      <c r="M342" s="289"/>
      <c r="N342" s="289"/>
      <c r="O342" s="289"/>
      <c r="P342" s="289"/>
      <c r="Q342" s="289"/>
      <c r="R342" s="289"/>
      <c r="S342" s="289"/>
      <c r="T342" s="289"/>
    </row>
    <row r="343" spans="4:20" ht="15.75" customHeight="1">
      <c r="D343" s="289"/>
      <c r="E343" s="289"/>
      <c r="F343" s="289"/>
      <c r="G343" s="289"/>
      <c r="H343" s="289"/>
      <c r="I343" s="289"/>
      <c r="J343" s="289"/>
      <c r="K343" s="289"/>
      <c r="L343" s="289"/>
      <c r="M343" s="289"/>
      <c r="N343" s="289"/>
      <c r="O343" s="289"/>
      <c r="P343" s="289"/>
      <c r="Q343" s="289"/>
      <c r="R343" s="289"/>
      <c r="S343" s="289"/>
      <c r="T343" s="289"/>
    </row>
    <row r="344" spans="4:20" ht="15.75" customHeight="1">
      <c r="D344" s="289"/>
      <c r="E344" s="289"/>
      <c r="F344" s="289"/>
      <c r="G344" s="289"/>
      <c r="H344" s="289"/>
      <c r="I344" s="289"/>
      <c r="J344" s="289"/>
      <c r="K344" s="289"/>
      <c r="L344" s="289"/>
      <c r="M344" s="289"/>
      <c r="N344" s="289"/>
      <c r="O344" s="289"/>
      <c r="P344" s="289"/>
      <c r="Q344" s="289"/>
      <c r="R344" s="289"/>
      <c r="S344" s="289"/>
      <c r="T344" s="289"/>
    </row>
    <row r="345" spans="4:20" ht="15.75" customHeight="1">
      <c r="D345" s="289"/>
      <c r="E345" s="289"/>
      <c r="F345" s="289"/>
      <c r="G345" s="289"/>
      <c r="H345" s="289"/>
      <c r="I345" s="289"/>
      <c r="J345" s="289"/>
      <c r="K345" s="289"/>
      <c r="L345" s="289"/>
      <c r="M345" s="289"/>
      <c r="N345" s="289"/>
      <c r="O345" s="289"/>
      <c r="P345" s="289"/>
      <c r="Q345" s="289"/>
      <c r="R345" s="289"/>
      <c r="S345" s="289"/>
      <c r="T345" s="289"/>
    </row>
    <row r="346" spans="4:20" ht="15.75" customHeight="1">
      <c r="D346" s="289"/>
      <c r="E346" s="289"/>
      <c r="F346" s="289"/>
      <c r="G346" s="289"/>
      <c r="H346" s="289"/>
      <c r="I346" s="289"/>
      <c r="J346" s="289"/>
      <c r="K346" s="289"/>
      <c r="L346" s="289"/>
      <c r="M346" s="289"/>
      <c r="N346" s="289"/>
      <c r="O346" s="289"/>
      <c r="P346" s="289"/>
      <c r="Q346" s="289"/>
      <c r="R346" s="289"/>
      <c r="S346" s="289"/>
      <c r="T346" s="289"/>
    </row>
    <row r="347" spans="4:20" ht="15.75" customHeight="1">
      <c r="D347" s="289"/>
      <c r="E347" s="289"/>
      <c r="F347" s="289"/>
      <c r="G347" s="289"/>
      <c r="H347" s="289"/>
      <c r="I347" s="289"/>
      <c r="J347" s="289"/>
      <c r="K347" s="289"/>
      <c r="L347" s="289"/>
      <c r="M347" s="289"/>
      <c r="N347" s="289"/>
      <c r="O347" s="289"/>
      <c r="P347" s="289"/>
      <c r="Q347" s="289"/>
      <c r="R347" s="289"/>
      <c r="S347" s="289"/>
      <c r="T347" s="289"/>
    </row>
    <row r="348" spans="4:20" ht="15.75" customHeight="1">
      <c r="D348" s="289"/>
      <c r="E348" s="289"/>
      <c r="F348" s="289"/>
      <c r="G348" s="289"/>
      <c r="H348" s="289"/>
      <c r="I348" s="289"/>
      <c r="J348" s="289"/>
      <c r="K348" s="289"/>
      <c r="L348" s="289"/>
      <c r="M348" s="289"/>
      <c r="N348" s="289"/>
      <c r="O348" s="289"/>
      <c r="P348" s="289"/>
      <c r="Q348" s="289"/>
      <c r="R348" s="289"/>
      <c r="S348" s="289"/>
      <c r="T348" s="289"/>
    </row>
    <row r="349" spans="4:20" ht="15.75" customHeight="1">
      <c r="D349" s="289"/>
      <c r="E349" s="289"/>
      <c r="F349" s="289"/>
      <c r="G349" s="289"/>
      <c r="H349" s="289"/>
      <c r="I349" s="289"/>
      <c r="J349" s="289"/>
      <c r="K349" s="289"/>
      <c r="L349" s="289"/>
      <c r="M349" s="289"/>
      <c r="N349" s="289"/>
      <c r="O349" s="289"/>
      <c r="P349" s="289"/>
      <c r="Q349" s="289"/>
      <c r="R349" s="289"/>
      <c r="S349" s="289"/>
      <c r="T349" s="289"/>
    </row>
    <row r="350" spans="4:20" ht="15.75" customHeight="1">
      <c r="D350" s="289"/>
      <c r="E350" s="289"/>
      <c r="F350" s="289"/>
      <c r="G350" s="289"/>
      <c r="H350" s="289"/>
      <c r="I350" s="289"/>
      <c r="J350" s="289"/>
      <c r="K350" s="289"/>
      <c r="L350" s="289"/>
      <c r="M350" s="289"/>
      <c r="N350" s="289"/>
      <c r="O350" s="289"/>
      <c r="P350" s="289"/>
      <c r="Q350" s="289"/>
      <c r="R350" s="289"/>
      <c r="S350" s="289"/>
      <c r="T350" s="289"/>
    </row>
    <row r="351" spans="4:20" ht="15.75" customHeight="1">
      <c r="D351" s="289"/>
      <c r="E351" s="289"/>
      <c r="F351" s="289"/>
      <c r="G351" s="289"/>
      <c r="H351" s="289"/>
      <c r="I351" s="289"/>
      <c r="J351" s="289"/>
      <c r="K351" s="289"/>
      <c r="L351" s="289"/>
      <c r="M351" s="289"/>
      <c r="N351" s="289"/>
      <c r="O351" s="289"/>
      <c r="P351" s="289"/>
      <c r="Q351" s="289"/>
      <c r="R351" s="289"/>
      <c r="S351" s="289"/>
      <c r="T351" s="289"/>
    </row>
    <row r="352" spans="4:20" ht="15.75" customHeight="1">
      <c r="D352" s="289"/>
      <c r="E352" s="289"/>
      <c r="F352" s="289"/>
      <c r="G352" s="289"/>
      <c r="H352" s="289"/>
      <c r="I352" s="289"/>
      <c r="J352" s="289"/>
      <c r="K352" s="289"/>
      <c r="L352" s="289"/>
      <c r="M352" s="289"/>
      <c r="N352" s="289"/>
      <c r="O352" s="289"/>
      <c r="P352" s="289"/>
      <c r="Q352" s="289"/>
      <c r="R352" s="289"/>
      <c r="S352" s="289"/>
      <c r="T352" s="289"/>
    </row>
    <row r="353" spans="4:20" ht="15.75" customHeight="1">
      <c r="D353" s="289"/>
      <c r="E353" s="289"/>
      <c r="F353" s="289"/>
      <c r="G353" s="289"/>
      <c r="H353" s="289"/>
      <c r="I353" s="289"/>
      <c r="J353" s="289"/>
      <c r="K353" s="289"/>
      <c r="L353" s="289"/>
      <c r="M353" s="289"/>
      <c r="N353" s="289"/>
      <c r="O353" s="289"/>
      <c r="P353" s="289"/>
      <c r="Q353" s="289"/>
      <c r="R353" s="289"/>
      <c r="S353" s="289"/>
      <c r="T353" s="289"/>
    </row>
    <row r="354" spans="4:20" ht="15.75" customHeight="1">
      <c r="D354" s="289"/>
      <c r="E354" s="289"/>
      <c r="F354" s="289"/>
      <c r="G354" s="289"/>
      <c r="H354" s="289"/>
      <c r="I354" s="289"/>
      <c r="J354" s="289"/>
      <c r="K354" s="289"/>
      <c r="L354" s="289"/>
      <c r="M354" s="289"/>
      <c r="N354" s="289"/>
      <c r="O354" s="289"/>
      <c r="P354" s="289"/>
      <c r="Q354" s="289"/>
      <c r="R354" s="289"/>
      <c r="S354" s="289"/>
      <c r="T354" s="289"/>
    </row>
    <row r="355" spans="4:20" ht="15.75" customHeight="1">
      <c r="D355" s="289"/>
      <c r="E355" s="289"/>
      <c r="F355" s="289"/>
      <c r="G355" s="289"/>
      <c r="H355" s="289"/>
      <c r="I355" s="289"/>
      <c r="J355" s="289"/>
      <c r="K355" s="289"/>
      <c r="L355" s="289"/>
      <c r="M355" s="289"/>
      <c r="N355" s="289"/>
      <c r="O355" s="289"/>
      <c r="P355" s="289"/>
      <c r="Q355" s="289"/>
      <c r="R355" s="289"/>
      <c r="S355" s="289"/>
      <c r="T355" s="289"/>
    </row>
    <row r="356" spans="4:20" ht="15.75" customHeight="1">
      <c r="D356" s="289"/>
      <c r="E356" s="289"/>
      <c r="F356" s="289"/>
      <c r="G356" s="289"/>
      <c r="H356" s="289"/>
      <c r="I356" s="289"/>
      <c r="J356" s="289"/>
      <c r="K356" s="289"/>
      <c r="L356" s="289"/>
      <c r="M356" s="289"/>
      <c r="N356" s="289"/>
      <c r="O356" s="289"/>
      <c r="P356" s="289"/>
      <c r="Q356" s="289"/>
      <c r="R356" s="289"/>
      <c r="S356" s="289"/>
      <c r="T356" s="289"/>
    </row>
    <row r="357" spans="4:20" ht="15.75" customHeight="1">
      <c r="D357" s="289"/>
      <c r="E357" s="289"/>
      <c r="F357" s="289"/>
      <c r="G357" s="289"/>
      <c r="H357" s="289"/>
      <c r="I357" s="289"/>
      <c r="J357" s="289"/>
      <c r="K357" s="289"/>
      <c r="L357" s="289"/>
      <c r="M357" s="289"/>
      <c r="N357" s="289"/>
      <c r="O357" s="289"/>
      <c r="P357" s="289"/>
      <c r="Q357" s="289"/>
      <c r="R357" s="289"/>
      <c r="S357" s="289"/>
      <c r="T357" s="289"/>
    </row>
    <row r="358" spans="4:20" ht="15.75" customHeight="1">
      <c r="D358" s="289"/>
      <c r="E358" s="289"/>
      <c r="F358" s="289"/>
      <c r="G358" s="289"/>
      <c r="H358" s="289"/>
      <c r="I358" s="289"/>
      <c r="J358" s="289"/>
      <c r="K358" s="289"/>
      <c r="L358" s="289"/>
      <c r="M358" s="289"/>
      <c r="N358" s="289"/>
      <c r="O358" s="289"/>
      <c r="P358" s="289"/>
      <c r="Q358" s="289"/>
      <c r="R358" s="289"/>
      <c r="S358" s="289"/>
      <c r="T358" s="289"/>
    </row>
    <row r="359" spans="4:20" ht="15.75" customHeight="1">
      <c r="D359" s="289"/>
      <c r="E359" s="289"/>
      <c r="F359" s="289"/>
      <c r="G359" s="289"/>
      <c r="H359" s="289"/>
      <c r="I359" s="289"/>
      <c r="J359" s="289"/>
      <c r="K359" s="289"/>
      <c r="L359" s="289"/>
      <c r="M359" s="289"/>
      <c r="N359" s="289"/>
      <c r="O359" s="289"/>
      <c r="P359" s="289"/>
      <c r="Q359" s="289"/>
      <c r="R359" s="289"/>
      <c r="S359" s="289"/>
      <c r="T359" s="289"/>
    </row>
    <row r="360" spans="4:20" ht="15.75" customHeight="1">
      <c r="D360" s="289"/>
      <c r="E360" s="289"/>
      <c r="F360" s="289"/>
      <c r="G360" s="289"/>
      <c r="H360" s="289"/>
      <c r="I360" s="289"/>
      <c r="J360" s="289"/>
      <c r="K360" s="289"/>
      <c r="L360" s="289"/>
      <c r="M360" s="289"/>
      <c r="N360" s="289"/>
      <c r="O360" s="289"/>
      <c r="P360" s="289"/>
      <c r="Q360" s="289"/>
      <c r="R360" s="289"/>
      <c r="S360" s="289"/>
      <c r="T360" s="289"/>
    </row>
    <row r="361" spans="4:20" ht="15.75" customHeight="1">
      <c r="D361" s="289"/>
      <c r="E361" s="289"/>
      <c r="F361" s="289"/>
      <c r="G361" s="289"/>
      <c r="H361" s="289"/>
      <c r="I361" s="289"/>
      <c r="J361" s="289"/>
      <c r="K361" s="289"/>
      <c r="L361" s="289"/>
      <c r="M361" s="289"/>
      <c r="N361" s="289"/>
      <c r="O361" s="289"/>
      <c r="P361" s="289"/>
      <c r="Q361" s="289"/>
      <c r="R361" s="289"/>
      <c r="S361" s="289"/>
      <c r="T361" s="289"/>
    </row>
    <row r="362" spans="4:20" ht="15.75" customHeight="1">
      <c r="D362" s="289"/>
      <c r="E362" s="289"/>
      <c r="F362" s="289"/>
      <c r="G362" s="289"/>
      <c r="H362" s="289"/>
      <c r="I362" s="289"/>
      <c r="J362" s="289"/>
      <c r="K362" s="289"/>
      <c r="L362" s="289"/>
      <c r="M362" s="289"/>
      <c r="N362" s="289"/>
      <c r="O362" s="289"/>
      <c r="P362" s="289"/>
      <c r="Q362" s="289"/>
      <c r="R362" s="289"/>
      <c r="S362" s="289"/>
      <c r="T362" s="289"/>
    </row>
    <row r="363" spans="4:20" ht="15.75" customHeight="1">
      <c r="D363" s="289"/>
      <c r="E363" s="289"/>
      <c r="F363" s="289"/>
      <c r="G363" s="289"/>
      <c r="H363" s="289"/>
      <c r="I363" s="289"/>
      <c r="J363" s="289"/>
      <c r="K363" s="289"/>
      <c r="L363" s="289"/>
      <c r="M363" s="289"/>
      <c r="N363" s="289"/>
      <c r="O363" s="289"/>
      <c r="P363" s="289"/>
      <c r="Q363" s="289"/>
      <c r="R363" s="289"/>
      <c r="S363" s="289"/>
      <c r="T363" s="289"/>
    </row>
    <row r="364" spans="4:20" ht="15.75" customHeight="1">
      <c r="D364" s="289"/>
      <c r="E364" s="289"/>
      <c r="F364" s="289"/>
      <c r="G364" s="289"/>
      <c r="H364" s="289"/>
      <c r="I364" s="289"/>
      <c r="J364" s="289"/>
      <c r="K364" s="289"/>
      <c r="L364" s="289"/>
      <c r="M364" s="289"/>
      <c r="N364" s="289"/>
      <c r="O364" s="289"/>
      <c r="P364" s="289"/>
      <c r="Q364" s="289"/>
      <c r="R364" s="289"/>
      <c r="S364" s="289"/>
      <c r="T364" s="289"/>
    </row>
    <row r="365" spans="4:20" ht="15.75" customHeight="1">
      <c r="D365" s="289"/>
      <c r="E365" s="289"/>
      <c r="F365" s="289"/>
      <c r="G365" s="289"/>
      <c r="H365" s="289"/>
      <c r="I365" s="289"/>
      <c r="J365" s="289"/>
      <c r="K365" s="289"/>
      <c r="L365" s="289"/>
      <c r="M365" s="289"/>
      <c r="N365" s="289"/>
      <c r="O365" s="289"/>
      <c r="P365" s="289"/>
      <c r="Q365" s="289"/>
      <c r="R365" s="289"/>
      <c r="S365" s="289"/>
      <c r="T365" s="289"/>
    </row>
    <row r="366" spans="4:20" ht="15.75" customHeight="1">
      <c r="D366" s="289"/>
      <c r="E366" s="289"/>
      <c r="F366" s="289"/>
      <c r="G366" s="289"/>
      <c r="H366" s="289"/>
      <c r="I366" s="289"/>
      <c r="J366" s="289"/>
      <c r="K366" s="289"/>
      <c r="L366" s="289"/>
      <c r="M366" s="289"/>
      <c r="N366" s="289"/>
      <c r="O366" s="289"/>
      <c r="P366" s="289"/>
      <c r="Q366" s="289"/>
      <c r="R366" s="289"/>
      <c r="S366" s="289"/>
      <c r="T366" s="289"/>
    </row>
    <row r="367" spans="4:20" ht="15.75" customHeight="1">
      <c r="D367" s="289"/>
      <c r="E367" s="289"/>
      <c r="F367" s="289"/>
      <c r="G367" s="289"/>
      <c r="H367" s="289"/>
      <c r="I367" s="289"/>
      <c r="J367" s="289"/>
      <c r="K367" s="289"/>
      <c r="L367" s="289"/>
      <c r="M367" s="289"/>
      <c r="N367" s="289"/>
      <c r="O367" s="289"/>
      <c r="P367" s="289"/>
      <c r="Q367" s="289"/>
      <c r="R367" s="289"/>
      <c r="S367" s="289"/>
      <c r="T367" s="289"/>
    </row>
    <row r="368" spans="4:20" ht="15.75" customHeight="1">
      <c r="D368" s="289"/>
      <c r="E368" s="289"/>
      <c r="F368" s="289"/>
      <c r="G368" s="289"/>
      <c r="H368" s="289"/>
      <c r="I368" s="289"/>
      <c r="J368" s="289"/>
      <c r="K368" s="289"/>
      <c r="L368" s="289"/>
      <c r="M368" s="289"/>
      <c r="N368" s="289"/>
      <c r="O368" s="289"/>
      <c r="P368" s="289"/>
      <c r="Q368" s="289"/>
      <c r="R368" s="289"/>
      <c r="S368" s="289"/>
      <c r="T368" s="289"/>
    </row>
    <row r="369" spans="4:20" ht="15.75" customHeight="1">
      <c r="D369" s="289"/>
      <c r="E369" s="289"/>
      <c r="F369" s="289"/>
      <c r="G369" s="289"/>
      <c r="H369" s="289"/>
      <c r="I369" s="289"/>
      <c r="J369" s="289"/>
      <c r="K369" s="289"/>
      <c r="L369" s="289"/>
      <c r="M369" s="289"/>
      <c r="N369" s="289"/>
      <c r="O369" s="289"/>
      <c r="P369" s="289"/>
      <c r="Q369" s="289"/>
      <c r="R369" s="289"/>
      <c r="S369" s="289"/>
      <c r="T369" s="289"/>
    </row>
    <row r="370" spans="4:20" ht="15.75" customHeight="1">
      <c r="D370" s="289"/>
      <c r="E370" s="289"/>
      <c r="F370" s="289"/>
      <c r="G370" s="289"/>
      <c r="H370" s="289"/>
      <c r="I370" s="289"/>
      <c r="J370" s="289"/>
      <c r="K370" s="289"/>
      <c r="L370" s="289"/>
      <c r="M370" s="289"/>
      <c r="N370" s="289"/>
      <c r="O370" s="289"/>
      <c r="P370" s="289"/>
      <c r="Q370" s="289"/>
      <c r="R370" s="289"/>
      <c r="S370" s="289"/>
      <c r="T370" s="289"/>
    </row>
    <row r="371" spans="4:20" ht="15.75" customHeight="1">
      <c r="D371" s="289"/>
      <c r="E371" s="289"/>
      <c r="F371" s="289"/>
      <c r="G371" s="289"/>
      <c r="H371" s="289"/>
      <c r="I371" s="289"/>
      <c r="J371" s="289"/>
      <c r="K371" s="289"/>
      <c r="L371" s="289"/>
      <c r="M371" s="289"/>
      <c r="N371" s="289"/>
      <c r="O371" s="289"/>
      <c r="P371" s="289"/>
      <c r="Q371" s="289"/>
      <c r="R371" s="289"/>
      <c r="S371" s="289"/>
      <c r="T371" s="289"/>
    </row>
    <row r="372" spans="4:20" ht="15.75" customHeight="1">
      <c r="D372" s="289"/>
      <c r="E372" s="289"/>
      <c r="F372" s="289"/>
      <c r="G372" s="289"/>
      <c r="H372" s="289"/>
      <c r="I372" s="289"/>
      <c r="J372" s="289"/>
      <c r="K372" s="289"/>
      <c r="L372" s="289"/>
      <c r="M372" s="289"/>
      <c r="N372" s="289"/>
      <c r="O372" s="289"/>
      <c r="P372" s="289"/>
      <c r="Q372" s="289"/>
      <c r="R372" s="289"/>
      <c r="S372" s="289"/>
      <c r="T372" s="289"/>
    </row>
    <row r="373" spans="4:20" ht="15.75" customHeight="1">
      <c r="D373" s="289"/>
      <c r="E373" s="289"/>
      <c r="F373" s="289"/>
      <c r="G373" s="289"/>
      <c r="H373" s="289"/>
      <c r="I373" s="289"/>
      <c r="J373" s="289"/>
      <c r="K373" s="289"/>
      <c r="L373" s="289"/>
      <c r="M373" s="289"/>
      <c r="N373" s="289"/>
      <c r="O373" s="289"/>
      <c r="P373" s="289"/>
      <c r="Q373" s="289"/>
      <c r="R373" s="289"/>
      <c r="S373" s="289"/>
      <c r="T373" s="289"/>
    </row>
    <row r="374" spans="4:20" ht="15.75" customHeight="1">
      <c r="D374" s="289"/>
      <c r="E374" s="289"/>
      <c r="F374" s="289"/>
      <c r="G374" s="289"/>
      <c r="H374" s="289"/>
      <c r="I374" s="289"/>
      <c r="J374" s="289"/>
      <c r="K374" s="289"/>
      <c r="L374" s="289"/>
      <c r="M374" s="289"/>
      <c r="N374" s="289"/>
      <c r="O374" s="289"/>
      <c r="P374" s="289"/>
      <c r="Q374" s="289"/>
      <c r="R374" s="289"/>
      <c r="S374" s="289"/>
      <c r="T374" s="289"/>
    </row>
    <row r="375" spans="4:20" ht="15.75" customHeight="1">
      <c r="D375" s="289"/>
      <c r="E375" s="289"/>
      <c r="F375" s="289"/>
      <c r="G375" s="289"/>
      <c r="H375" s="289"/>
      <c r="I375" s="289"/>
      <c r="J375" s="289"/>
      <c r="K375" s="289"/>
      <c r="L375" s="289"/>
      <c r="M375" s="289"/>
      <c r="N375" s="289"/>
      <c r="O375" s="289"/>
      <c r="P375" s="289"/>
      <c r="Q375" s="289"/>
      <c r="R375" s="289"/>
      <c r="S375" s="289"/>
      <c r="T375" s="289"/>
    </row>
    <row r="376" spans="4:20" ht="15.75" customHeight="1">
      <c r="D376" s="289"/>
      <c r="E376" s="289"/>
      <c r="F376" s="289"/>
      <c r="G376" s="289"/>
      <c r="H376" s="289"/>
      <c r="I376" s="289"/>
      <c r="J376" s="289"/>
      <c r="K376" s="289"/>
      <c r="L376" s="289"/>
      <c r="M376" s="289"/>
      <c r="N376" s="289"/>
      <c r="O376" s="289"/>
      <c r="P376" s="289"/>
      <c r="Q376" s="289"/>
      <c r="R376" s="289"/>
      <c r="S376" s="289"/>
      <c r="T376" s="289"/>
    </row>
    <row r="377" spans="4:20" ht="15.75" customHeight="1">
      <c r="D377" s="289"/>
      <c r="E377" s="289"/>
      <c r="F377" s="289"/>
      <c r="G377" s="289"/>
      <c r="H377" s="289"/>
      <c r="I377" s="289"/>
      <c r="J377" s="289"/>
      <c r="K377" s="289"/>
      <c r="L377" s="289"/>
      <c r="M377" s="289"/>
      <c r="N377" s="289"/>
      <c r="O377" s="289"/>
      <c r="P377" s="289"/>
      <c r="Q377" s="289"/>
      <c r="R377" s="289"/>
      <c r="S377" s="289"/>
      <c r="T377" s="289"/>
    </row>
    <row r="378" spans="4:20" ht="15.75" customHeight="1">
      <c r="D378" s="289"/>
      <c r="E378" s="289"/>
      <c r="F378" s="289"/>
      <c r="G378" s="289"/>
      <c r="H378" s="289"/>
      <c r="I378" s="289"/>
      <c r="J378" s="289"/>
      <c r="K378" s="289"/>
      <c r="L378" s="289"/>
      <c r="M378" s="289"/>
      <c r="N378" s="289"/>
      <c r="O378" s="289"/>
      <c r="P378" s="289"/>
      <c r="Q378" s="289"/>
      <c r="R378" s="289"/>
      <c r="S378" s="289"/>
      <c r="T378" s="289"/>
    </row>
    <row r="379" spans="4:20" ht="15.75" customHeight="1">
      <c r="D379" s="289"/>
      <c r="E379" s="289"/>
      <c r="F379" s="289"/>
      <c r="G379" s="289"/>
      <c r="H379" s="289"/>
      <c r="I379" s="289"/>
      <c r="J379" s="289"/>
      <c r="K379" s="289"/>
      <c r="L379" s="289"/>
      <c r="M379" s="289"/>
      <c r="N379" s="289"/>
      <c r="O379" s="289"/>
      <c r="P379" s="289"/>
      <c r="Q379" s="289"/>
      <c r="R379" s="289"/>
      <c r="S379" s="289"/>
      <c r="T379" s="289"/>
    </row>
    <row r="380" spans="4:20" ht="15.75" customHeight="1">
      <c r="D380" s="289"/>
      <c r="E380" s="289"/>
      <c r="F380" s="289"/>
      <c r="G380" s="289"/>
      <c r="H380" s="289"/>
      <c r="I380" s="289"/>
      <c r="J380" s="289"/>
      <c r="K380" s="289"/>
      <c r="L380" s="289"/>
      <c r="M380" s="289"/>
      <c r="N380" s="289"/>
      <c r="O380" s="289"/>
      <c r="P380" s="289"/>
      <c r="Q380" s="289"/>
      <c r="R380" s="289"/>
      <c r="S380" s="289"/>
      <c r="T380" s="289"/>
    </row>
    <row r="381" spans="4:20" ht="15.75" customHeight="1">
      <c r="D381" s="289"/>
      <c r="E381" s="289"/>
      <c r="F381" s="289"/>
      <c r="G381" s="289"/>
      <c r="H381" s="289"/>
      <c r="I381" s="289"/>
      <c r="J381" s="289"/>
      <c r="K381" s="289"/>
      <c r="L381" s="289"/>
      <c r="M381" s="289"/>
      <c r="N381" s="289"/>
      <c r="O381" s="289"/>
      <c r="P381" s="289"/>
      <c r="Q381" s="289"/>
      <c r="R381" s="289"/>
      <c r="S381" s="289"/>
      <c r="T381" s="289"/>
    </row>
    <row r="382" spans="4:20" ht="15.75" customHeight="1"/>
    <row r="383" spans="4:20" ht="15.75" customHeight="1"/>
    <row r="384" spans="4:20"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sheetData>
  <mergeCells count="2">
    <mergeCell ref="J5:M5"/>
    <mergeCell ref="N5:P5"/>
  </mergeCells>
  <pageMargins left="0.7" right="0.7" top="0.75" bottom="0.75" header="0" footer="0"/>
  <pageSetup orientation="landscape"/>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X999"/>
  <sheetViews>
    <sheetView workbookViewId="0"/>
  </sheetViews>
  <sheetFormatPr defaultColWidth="12.5703125" defaultRowHeight="15" customHeight="1"/>
  <cols>
    <col min="1" max="1" width="4" customWidth="1"/>
    <col min="2" max="2" width="32.28515625" customWidth="1"/>
    <col min="3" max="3" width="10.85546875" customWidth="1"/>
    <col min="4" max="5" width="13" customWidth="1"/>
    <col min="6" max="6" width="10.42578125" customWidth="1"/>
    <col min="7" max="7" width="12.7109375" customWidth="1"/>
    <col min="8" max="8" width="1.7109375" customWidth="1"/>
    <col min="9" max="9" width="62.5703125" customWidth="1"/>
    <col min="10" max="10" width="2.285156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42578125" customWidth="1"/>
    <col min="24" max="24" width="11.42578125" customWidth="1"/>
  </cols>
  <sheetData>
    <row r="1" spans="1:24" ht="15.75" customHeight="1">
      <c r="A1" s="128" t="s">
        <v>122</v>
      </c>
      <c r="B1" s="129"/>
      <c r="C1" s="292"/>
      <c r="D1" s="129"/>
      <c r="E1" s="129"/>
      <c r="F1" s="129"/>
      <c r="G1" s="129"/>
      <c r="H1" s="129"/>
      <c r="I1" s="207"/>
      <c r="J1" s="129"/>
      <c r="K1" s="129"/>
      <c r="L1" s="130"/>
      <c r="M1" s="130"/>
      <c r="N1" s="129"/>
      <c r="O1" s="129"/>
      <c r="P1" s="129"/>
      <c r="Q1" s="129"/>
      <c r="R1" s="129"/>
      <c r="S1" s="129"/>
      <c r="T1" s="129"/>
      <c r="U1" s="129"/>
      <c r="V1" s="129"/>
      <c r="W1" s="129"/>
      <c r="X1" s="129"/>
    </row>
    <row r="2" spans="1:24" ht="15.75" customHeight="1">
      <c r="A2" s="128" t="s">
        <v>539</v>
      </c>
      <c r="B2" s="129"/>
      <c r="C2" s="292"/>
      <c r="D2" s="129"/>
      <c r="E2" s="129"/>
      <c r="F2" s="129"/>
      <c r="G2" s="129"/>
      <c r="H2" s="129"/>
      <c r="I2" s="207"/>
      <c r="J2" s="129"/>
      <c r="K2" s="129"/>
      <c r="L2" s="129"/>
      <c r="M2" s="129"/>
      <c r="N2" s="129"/>
      <c r="O2" s="129"/>
      <c r="P2" s="129"/>
      <c r="Q2" s="129"/>
      <c r="R2" s="129"/>
      <c r="S2" s="129"/>
      <c r="T2" s="129"/>
      <c r="U2" s="129"/>
      <c r="V2" s="129"/>
      <c r="W2" s="129"/>
      <c r="X2" s="129"/>
    </row>
    <row r="3" spans="1:24" ht="15.75" customHeight="1">
      <c r="A3" s="293"/>
      <c r="B3" s="294"/>
      <c r="C3" s="292"/>
      <c r="D3" s="129"/>
      <c r="E3" s="129"/>
      <c r="F3" s="129"/>
      <c r="G3" s="129"/>
      <c r="H3" s="129"/>
      <c r="I3" s="207"/>
      <c r="J3" s="129"/>
      <c r="K3" s="129"/>
      <c r="L3" s="129"/>
      <c r="M3" s="129"/>
      <c r="N3" s="129"/>
      <c r="O3" s="129"/>
      <c r="P3" s="129"/>
      <c r="Q3" s="129"/>
      <c r="R3" s="135"/>
      <c r="S3" s="135"/>
      <c r="T3" s="129"/>
      <c r="U3" s="129"/>
      <c r="V3" s="129"/>
      <c r="W3" s="129"/>
      <c r="X3" s="129"/>
    </row>
    <row r="4" spans="1:24" ht="40.5"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128" t="s">
        <v>153</v>
      </c>
      <c r="B5" s="128"/>
      <c r="C5" s="335">
        <v>0</v>
      </c>
      <c r="D5" s="336"/>
      <c r="E5" s="336"/>
      <c r="F5" s="336"/>
      <c r="G5" s="336"/>
      <c r="H5" s="337"/>
      <c r="I5" s="488"/>
      <c r="J5" s="337"/>
      <c r="K5" s="339">
        <v>0</v>
      </c>
      <c r="L5" s="339"/>
      <c r="M5" s="339">
        <v>0</v>
      </c>
      <c r="N5" s="339"/>
      <c r="O5" s="339">
        <v>0</v>
      </c>
      <c r="P5" s="339"/>
      <c r="Q5" s="339">
        <v>0</v>
      </c>
      <c r="R5" s="339"/>
      <c r="S5" s="339">
        <v>0</v>
      </c>
      <c r="T5" s="339"/>
      <c r="U5" s="339">
        <v>0</v>
      </c>
      <c r="V5" s="339"/>
      <c r="W5" s="389"/>
      <c r="X5" s="339">
        <v>0</v>
      </c>
    </row>
    <row r="6" spans="1:24" ht="15.75" customHeight="1">
      <c r="A6" s="128"/>
      <c r="B6" s="129"/>
      <c r="C6" s="292"/>
      <c r="D6" s="135"/>
      <c r="E6" s="135"/>
      <c r="F6" s="135"/>
      <c r="G6" s="135"/>
      <c r="H6" s="135"/>
      <c r="I6" s="399"/>
      <c r="J6" s="135"/>
      <c r="K6" s="135"/>
      <c r="L6" s="135"/>
      <c r="M6" s="135"/>
      <c r="N6" s="135"/>
      <c r="O6" s="135"/>
      <c r="P6" s="135"/>
      <c r="Q6" s="135"/>
      <c r="R6" s="135"/>
      <c r="S6" s="135"/>
      <c r="T6" s="135"/>
      <c r="U6" s="135"/>
      <c r="V6" s="135"/>
      <c r="W6" s="135"/>
      <c r="X6" s="135"/>
    </row>
    <row r="7" spans="1:24" ht="34.5" customHeight="1">
      <c r="A7" s="128" t="s">
        <v>154</v>
      </c>
      <c r="B7" s="129"/>
      <c r="C7" s="137"/>
      <c r="D7" s="140"/>
      <c r="E7" s="140"/>
      <c r="F7" s="140"/>
      <c r="G7" s="140"/>
      <c r="H7" s="295"/>
      <c r="I7" s="540"/>
      <c r="J7" s="295"/>
      <c r="K7" s="295"/>
      <c r="L7" s="295"/>
      <c r="M7" s="295"/>
      <c r="N7" s="295"/>
      <c r="O7" s="295"/>
      <c r="P7" s="295"/>
      <c r="Q7" s="295"/>
      <c r="R7" s="295"/>
      <c r="S7" s="295"/>
      <c r="T7" s="295"/>
      <c r="U7" s="295"/>
      <c r="V7" s="295"/>
      <c r="W7" s="295"/>
      <c r="X7" s="295"/>
    </row>
    <row r="8" spans="1:24" ht="29.25" customHeight="1">
      <c r="A8" s="541"/>
      <c r="B8" s="346" t="s">
        <v>540</v>
      </c>
      <c r="C8" s="542">
        <v>0</v>
      </c>
      <c r="D8" s="67">
        <v>0</v>
      </c>
      <c r="E8" s="67">
        <v>5000</v>
      </c>
      <c r="F8" s="67">
        <v>10000</v>
      </c>
      <c r="G8" s="67">
        <f t="shared" ref="G8:G14" si="0">F8-C8</f>
        <v>10000</v>
      </c>
      <c r="H8" s="543"/>
      <c r="I8" s="427" t="s">
        <v>541</v>
      </c>
      <c r="J8" s="543"/>
      <c r="K8" s="544">
        <f t="shared" ref="K8:U8" si="1">10000/11</f>
        <v>909.09090909090912</v>
      </c>
      <c r="L8" s="544">
        <f t="shared" si="1"/>
        <v>909.09090909090912</v>
      </c>
      <c r="M8" s="544">
        <f t="shared" si="1"/>
        <v>909.09090909090912</v>
      </c>
      <c r="N8" s="544">
        <f t="shared" si="1"/>
        <v>909.09090909090912</v>
      </c>
      <c r="O8" s="544">
        <f t="shared" si="1"/>
        <v>909.09090909090912</v>
      </c>
      <c r="P8" s="544">
        <f t="shared" si="1"/>
        <v>909.09090909090912</v>
      </c>
      <c r="Q8" s="544">
        <f t="shared" si="1"/>
        <v>909.09090909090912</v>
      </c>
      <c r="R8" s="544">
        <f t="shared" si="1"/>
        <v>909.09090909090912</v>
      </c>
      <c r="S8" s="544">
        <f t="shared" si="1"/>
        <v>909.09090909090912</v>
      </c>
      <c r="T8" s="544">
        <f t="shared" si="1"/>
        <v>909.09090909090912</v>
      </c>
      <c r="U8" s="544">
        <f t="shared" si="1"/>
        <v>909.09090909090912</v>
      </c>
      <c r="V8" s="544"/>
      <c r="W8" s="545"/>
      <c r="X8" s="212">
        <f t="shared" ref="X8:X10" si="2">SUM(K8:V8)</f>
        <v>10000.000000000002</v>
      </c>
    </row>
    <row r="9" spans="1:24" ht="15.75" customHeight="1">
      <c r="A9" s="541"/>
      <c r="B9" s="129" t="s">
        <v>112</v>
      </c>
      <c r="C9" s="320">
        <v>10000</v>
      </c>
      <c r="D9" s="67">
        <v>7014.65</v>
      </c>
      <c r="E9" s="67">
        <v>7800</v>
      </c>
      <c r="F9" s="67">
        <v>15600</v>
      </c>
      <c r="G9" s="67">
        <f t="shared" si="0"/>
        <v>5600</v>
      </c>
      <c r="H9" s="543"/>
      <c r="I9" s="427" t="s">
        <v>542</v>
      </c>
      <c r="J9" s="543"/>
      <c r="K9" s="544">
        <f t="shared" ref="K9:V9" si="3">$F$9/12</f>
        <v>1300</v>
      </c>
      <c r="L9" s="544">
        <f t="shared" si="3"/>
        <v>1300</v>
      </c>
      <c r="M9" s="544">
        <f t="shared" si="3"/>
        <v>1300</v>
      </c>
      <c r="N9" s="544">
        <f t="shared" si="3"/>
        <v>1300</v>
      </c>
      <c r="O9" s="544">
        <f t="shared" si="3"/>
        <v>1300</v>
      </c>
      <c r="P9" s="544">
        <f t="shared" si="3"/>
        <v>1300</v>
      </c>
      <c r="Q9" s="544">
        <f t="shared" si="3"/>
        <v>1300</v>
      </c>
      <c r="R9" s="544">
        <f t="shared" si="3"/>
        <v>1300</v>
      </c>
      <c r="S9" s="544">
        <f t="shared" si="3"/>
        <v>1300</v>
      </c>
      <c r="T9" s="544">
        <f t="shared" si="3"/>
        <v>1300</v>
      </c>
      <c r="U9" s="544">
        <f t="shared" si="3"/>
        <v>1300</v>
      </c>
      <c r="V9" s="544">
        <f t="shared" si="3"/>
        <v>1300</v>
      </c>
      <c r="W9" s="441"/>
      <c r="X9" s="212">
        <f t="shared" si="2"/>
        <v>15600</v>
      </c>
    </row>
    <row r="10" spans="1:24" ht="15.75" customHeight="1">
      <c r="A10" s="541"/>
      <c r="B10" s="346" t="s">
        <v>543</v>
      </c>
      <c r="C10" s="347">
        <v>15000</v>
      </c>
      <c r="D10" s="67">
        <v>10036.280000000001</v>
      </c>
      <c r="E10" s="67">
        <v>5000</v>
      </c>
      <c r="F10" s="67">
        <v>10000</v>
      </c>
      <c r="G10" s="67">
        <f t="shared" si="0"/>
        <v>-5000</v>
      </c>
      <c r="H10" s="543"/>
      <c r="I10" s="427" t="s">
        <v>544</v>
      </c>
      <c r="J10" s="543"/>
      <c r="K10" s="544">
        <f t="shared" ref="K10:V10" si="4">10000/12</f>
        <v>833.33333333333337</v>
      </c>
      <c r="L10" s="544">
        <f t="shared" si="4"/>
        <v>833.33333333333337</v>
      </c>
      <c r="M10" s="544">
        <f t="shared" si="4"/>
        <v>833.33333333333337</v>
      </c>
      <c r="N10" s="544">
        <f t="shared" si="4"/>
        <v>833.33333333333337</v>
      </c>
      <c r="O10" s="544">
        <f t="shared" si="4"/>
        <v>833.33333333333337</v>
      </c>
      <c r="P10" s="544">
        <f t="shared" si="4"/>
        <v>833.33333333333337</v>
      </c>
      <c r="Q10" s="544">
        <f t="shared" si="4"/>
        <v>833.33333333333337</v>
      </c>
      <c r="R10" s="544">
        <f t="shared" si="4"/>
        <v>833.33333333333337</v>
      </c>
      <c r="S10" s="544">
        <f t="shared" si="4"/>
        <v>833.33333333333337</v>
      </c>
      <c r="T10" s="544">
        <f t="shared" si="4"/>
        <v>833.33333333333337</v>
      </c>
      <c r="U10" s="544">
        <f t="shared" si="4"/>
        <v>833.33333333333337</v>
      </c>
      <c r="V10" s="544">
        <f t="shared" si="4"/>
        <v>833.33333333333337</v>
      </c>
      <c r="W10" s="441"/>
      <c r="X10" s="212">
        <f t="shared" si="2"/>
        <v>10000</v>
      </c>
    </row>
    <row r="11" spans="1:24" ht="15.75" customHeight="1">
      <c r="A11" s="129"/>
      <c r="B11" s="128" t="s">
        <v>111</v>
      </c>
      <c r="C11" s="384">
        <f t="shared" ref="C11:F11" si="5">SUM(C12:C13)</f>
        <v>95000</v>
      </c>
      <c r="D11" s="311">
        <f t="shared" si="5"/>
        <v>10011.66</v>
      </c>
      <c r="E11" s="311">
        <f t="shared" si="5"/>
        <v>80000</v>
      </c>
      <c r="F11" s="311">
        <f t="shared" si="5"/>
        <v>90000</v>
      </c>
      <c r="G11" s="311">
        <f t="shared" si="0"/>
        <v>-5000</v>
      </c>
      <c r="H11" s="219"/>
      <c r="I11" s="411"/>
      <c r="J11" s="219"/>
      <c r="K11" s="546">
        <f t="shared" ref="K11:V11" si="6">SUM(K12:K13)</f>
        <v>833.33333333333337</v>
      </c>
      <c r="L11" s="546">
        <f t="shared" si="6"/>
        <v>833.33333333333337</v>
      </c>
      <c r="M11" s="546">
        <f t="shared" si="6"/>
        <v>833.33333333333337</v>
      </c>
      <c r="N11" s="546">
        <f t="shared" si="6"/>
        <v>833.33333333333337</v>
      </c>
      <c r="O11" s="546">
        <f t="shared" si="6"/>
        <v>833.33333333333337</v>
      </c>
      <c r="P11" s="546">
        <f t="shared" si="6"/>
        <v>833.33333333333337</v>
      </c>
      <c r="Q11" s="546">
        <f t="shared" si="6"/>
        <v>833.33333333333337</v>
      </c>
      <c r="R11" s="546">
        <f t="shared" si="6"/>
        <v>833.33333333333337</v>
      </c>
      <c r="S11" s="546">
        <f t="shared" si="6"/>
        <v>80833.333333333328</v>
      </c>
      <c r="T11" s="546">
        <f t="shared" si="6"/>
        <v>833.33333333333337</v>
      </c>
      <c r="U11" s="546">
        <f t="shared" si="6"/>
        <v>833.33333333333337</v>
      </c>
      <c r="V11" s="546">
        <f t="shared" si="6"/>
        <v>833.33333333333337</v>
      </c>
      <c r="W11" s="547"/>
      <c r="X11" s="225">
        <f>SUM(X12:X13)</f>
        <v>90000</v>
      </c>
    </row>
    <row r="12" spans="1:24" ht="15.75" customHeight="1">
      <c r="A12" s="129"/>
      <c r="B12" s="129" t="s">
        <v>545</v>
      </c>
      <c r="C12" s="320">
        <v>5000</v>
      </c>
      <c r="D12" s="351">
        <v>7712.66</v>
      </c>
      <c r="E12" s="67">
        <v>2000</v>
      </c>
      <c r="F12" s="67">
        <v>10000</v>
      </c>
      <c r="G12" s="351">
        <f t="shared" si="0"/>
        <v>5000</v>
      </c>
      <c r="H12" s="211"/>
      <c r="I12" s="427" t="s">
        <v>546</v>
      </c>
      <c r="J12" s="211"/>
      <c r="K12" s="544">
        <f t="shared" ref="K12:V12" si="7">10000/12</f>
        <v>833.33333333333337</v>
      </c>
      <c r="L12" s="544">
        <f t="shared" si="7"/>
        <v>833.33333333333337</v>
      </c>
      <c r="M12" s="544">
        <f t="shared" si="7"/>
        <v>833.33333333333337</v>
      </c>
      <c r="N12" s="544">
        <f t="shared" si="7"/>
        <v>833.33333333333337</v>
      </c>
      <c r="O12" s="544">
        <f t="shared" si="7"/>
        <v>833.33333333333337</v>
      </c>
      <c r="P12" s="544">
        <f t="shared" si="7"/>
        <v>833.33333333333337</v>
      </c>
      <c r="Q12" s="544">
        <f t="shared" si="7"/>
        <v>833.33333333333337</v>
      </c>
      <c r="R12" s="544">
        <f t="shared" si="7"/>
        <v>833.33333333333337</v>
      </c>
      <c r="S12" s="544">
        <f t="shared" si="7"/>
        <v>833.33333333333337</v>
      </c>
      <c r="T12" s="544">
        <f t="shared" si="7"/>
        <v>833.33333333333337</v>
      </c>
      <c r="U12" s="544">
        <f t="shared" si="7"/>
        <v>833.33333333333337</v>
      </c>
      <c r="V12" s="544">
        <f t="shared" si="7"/>
        <v>833.33333333333337</v>
      </c>
      <c r="W12" s="506"/>
      <c r="X12" s="212">
        <f t="shared" ref="X12:X13" si="8">SUM(K12:V12)</f>
        <v>10000</v>
      </c>
    </row>
    <row r="13" spans="1:24" ht="39" customHeight="1">
      <c r="A13" s="129"/>
      <c r="B13" s="129" t="s">
        <v>547</v>
      </c>
      <c r="C13" s="320">
        <v>90000</v>
      </c>
      <c r="D13" s="351">
        <v>2299</v>
      </c>
      <c r="E13" s="67">
        <v>78000</v>
      </c>
      <c r="F13" s="67">
        <v>80000</v>
      </c>
      <c r="G13" s="351">
        <f t="shared" si="0"/>
        <v>-10000</v>
      </c>
      <c r="H13" s="211"/>
      <c r="I13" s="427" t="s">
        <v>548</v>
      </c>
      <c r="J13" s="211"/>
      <c r="K13" s="548">
        <v>0</v>
      </c>
      <c r="L13" s="548">
        <v>0</v>
      </c>
      <c r="M13" s="548">
        <v>0</v>
      </c>
      <c r="N13" s="548">
        <v>0</v>
      </c>
      <c r="O13" s="548">
        <v>0</v>
      </c>
      <c r="P13" s="548">
        <v>0</v>
      </c>
      <c r="Q13" s="548">
        <v>0</v>
      </c>
      <c r="R13" s="548">
        <v>0</v>
      </c>
      <c r="S13" s="548">
        <v>80000</v>
      </c>
      <c r="T13" s="548">
        <v>0</v>
      </c>
      <c r="U13" s="548">
        <v>0</v>
      </c>
      <c r="V13" s="548">
        <v>0</v>
      </c>
      <c r="W13" s="549"/>
      <c r="X13" s="550">
        <f t="shared" si="8"/>
        <v>80000</v>
      </c>
    </row>
    <row r="14" spans="1:24" ht="15.75" customHeight="1">
      <c r="A14" s="128" t="s">
        <v>549</v>
      </c>
      <c r="B14" s="128"/>
      <c r="C14" s="384">
        <f>C8+C9+C10+C11</f>
        <v>120000</v>
      </c>
      <c r="D14" s="514">
        <f t="shared" ref="D14:E14" si="9">D8+D10+D11</f>
        <v>20047.940000000002</v>
      </c>
      <c r="E14" s="514">
        <f t="shared" si="9"/>
        <v>90000</v>
      </c>
      <c r="F14" s="514">
        <f>F8+F9+F10+F11</f>
        <v>125600</v>
      </c>
      <c r="G14" s="515">
        <f t="shared" si="0"/>
        <v>5600</v>
      </c>
      <c r="H14" s="516"/>
      <c r="I14" s="378"/>
      <c r="J14" s="516"/>
      <c r="K14" s="551">
        <f t="shared" ref="K14:V14" si="10">K8+K9+K10+K11</f>
        <v>3875.757575757576</v>
      </c>
      <c r="L14" s="551">
        <f t="shared" si="10"/>
        <v>3875.757575757576</v>
      </c>
      <c r="M14" s="551">
        <f t="shared" si="10"/>
        <v>3875.757575757576</v>
      </c>
      <c r="N14" s="551">
        <f t="shared" si="10"/>
        <v>3875.757575757576</v>
      </c>
      <c r="O14" s="551">
        <f t="shared" si="10"/>
        <v>3875.757575757576</v>
      </c>
      <c r="P14" s="551">
        <f t="shared" si="10"/>
        <v>3875.757575757576</v>
      </c>
      <c r="Q14" s="551">
        <f t="shared" si="10"/>
        <v>3875.757575757576</v>
      </c>
      <c r="R14" s="551">
        <f t="shared" si="10"/>
        <v>3875.757575757576</v>
      </c>
      <c r="S14" s="551">
        <f t="shared" si="10"/>
        <v>83875.757575757569</v>
      </c>
      <c r="T14" s="551">
        <f t="shared" si="10"/>
        <v>3875.757575757576</v>
      </c>
      <c r="U14" s="551">
        <f t="shared" si="10"/>
        <v>3875.757575757576</v>
      </c>
      <c r="V14" s="551">
        <f t="shared" si="10"/>
        <v>2966.666666666667</v>
      </c>
      <c r="W14" s="552"/>
      <c r="X14" s="551">
        <f>X8+X9+X10+X11</f>
        <v>125600</v>
      </c>
    </row>
    <row r="15" spans="1:24" ht="15.75" customHeight="1">
      <c r="A15" s="129"/>
      <c r="B15" s="129"/>
      <c r="C15" s="292"/>
      <c r="D15" s="196"/>
      <c r="E15" s="196"/>
      <c r="F15" s="196"/>
      <c r="G15" s="196"/>
      <c r="H15" s="196"/>
      <c r="I15" s="419"/>
      <c r="J15" s="196"/>
      <c r="K15" s="196"/>
      <c r="L15" s="196"/>
      <c r="M15" s="196"/>
      <c r="N15" s="196"/>
      <c r="O15" s="196"/>
      <c r="P15" s="196"/>
      <c r="Q15" s="196"/>
      <c r="R15" s="196"/>
      <c r="S15" s="196"/>
      <c r="T15" s="196"/>
      <c r="U15" s="196"/>
      <c r="V15" s="196"/>
      <c r="W15" s="196"/>
      <c r="X15" s="196"/>
    </row>
    <row r="16" spans="1:24" ht="15.75" hidden="1" customHeight="1">
      <c r="A16" s="276" t="s">
        <v>291</v>
      </c>
      <c r="B16" s="129"/>
      <c r="C16" s="292"/>
      <c r="D16" s="277"/>
      <c r="E16" s="277"/>
      <c r="F16" s="277"/>
      <c r="G16" s="277"/>
      <c r="H16" s="277"/>
      <c r="I16" s="210"/>
      <c r="J16" s="277"/>
      <c r="K16" s="278">
        <f>K5-K14</f>
        <v>-3875.757575757576</v>
      </c>
      <c r="L16" s="278"/>
      <c r="M16" s="278">
        <f>M5-M14</f>
        <v>-3875.757575757576</v>
      </c>
      <c r="N16" s="278"/>
      <c r="O16" s="278">
        <f>O5-O14</f>
        <v>-3875.757575757576</v>
      </c>
      <c r="P16" s="278"/>
      <c r="Q16" s="278">
        <f>Q5-Q14</f>
        <v>-3875.757575757576</v>
      </c>
      <c r="R16" s="278"/>
      <c r="S16" s="278">
        <f>S5-S14</f>
        <v>-83875.757575757569</v>
      </c>
      <c r="T16" s="278"/>
      <c r="U16" s="278">
        <f>U5-U14</f>
        <v>-3875.757575757576</v>
      </c>
      <c r="V16" s="278"/>
      <c r="W16" s="278">
        <f t="shared" ref="W16:X16" si="11">W5-W14</f>
        <v>0</v>
      </c>
      <c r="X16" s="278">
        <f t="shared" si="11"/>
        <v>-125600</v>
      </c>
    </row>
    <row r="17" spans="1:24" ht="15.75" hidden="1" customHeight="1">
      <c r="A17" s="128"/>
      <c r="B17" s="129"/>
      <c r="C17" s="292"/>
      <c r="D17" s="129"/>
      <c r="E17" s="129"/>
      <c r="F17" s="129"/>
      <c r="G17" s="129"/>
      <c r="H17" s="129"/>
      <c r="I17" s="207"/>
      <c r="J17" s="129"/>
      <c r="K17" s="129"/>
      <c r="L17" s="129"/>
      <c r="M17" s="129"/>
      <c r="N17" s="129"/>
      <c r="O17" s="129"/>
      <c r="P17" s="129"/>
      <c r="Q17" s="129"/>
      <c r="R17" s="129"/>
      <c r="S17" s="129"/>
      <c r="T17" s="129"/>
      <c r="U17" s="129"/>
      <c r="V17" s="129"/>
      <c r="W17" s="129"/>
      <c r="X17" s="129"/>
    </row>
    <row r="18" spans="1:24" ht="15.75" hidden="1" customHeight="1">
      <c r="C18" s="328"/>
      <c r="D18" s="289"/>
      <c r="E18" s="289"/>
      <c r="F18" s="289"/>
      <c r="G18" s="289"/>
      <c r="H18" s="289"/>
      <c r="I18" s="289"/>
      <c r="J18" s="289"/>
      <c r="K18" s="289"/>
      <c r="L18" s="289"/>
      <c r="M18" s="289"/>
      <c r="N18" s="289"/>
      <c r="O18" s="289"/>
      <c r="P18" s="289"/>
      <c r="Q18" s="289"/>
      <c r="R18" s="289"/>
      <c r="S18" s="289"/>
      <c r="T18" s="289"/>
      <c r="U18" s="289"/>
      <c r="V18" s="289"/>
      <c r="W18" s="289"/>
      <c r="X18" s="289"/>
    </row>
    <row r="19" spans="1:24" ht="15.75" hidden="1" customHeight="1">
      <c r="C19" s="328"/>
      <c r="D19" s="289"/>
      <c r="E19" s="289"/>
      <c r="F19" s="289"/>
      <c r="G19" s="289"/>
      <c r="H19" s="289"/>
      <c r="I19" s="289"/>
      <c r="J19" s="289"/>
      <c r="K19" s="289"/>
      <c r="L19" s="289"/>
      <c r="M19" s="289"/>
      <c r="N19" s="289"/>
      <c r="O19" s="289"/>
      <c r="P19" s="289"/>
      <c r="Q19" s="289"/>
      <c r="R19" s="289"/>
      <c r="S19" s="289"/>
      <c r="T19" s="289"/>
      <c r="U19" s="289"/>
      <c r="V19" s="289"/>
      <c r="W19" s="289"/>
      <c r="X19" s="289"/>
    </row>
    <row r="20" spans="1:24" ht="15.75" hidden="1" customHeight="1">
      <c r="C20" s="328"/>
      <c r="D20" s="289"/>
      <c r="E20" s="289"/>
      <c r="F20" s="289"/>
      <c r="G20" s="289"/>
      <c r="H20" s="289"/>
      <c r="I20" s="289"/>
      <c r="J20" s="289"/>
      <c r="K20" s="289"/>
      <c r="L20" s="289"/>
      <c r="M20" s="289"/>
      <c r="N20" s="289"/>
      <c r="O20" s="289"/>
      <c r="P20" s="289"/>
      <c r="Q20" s="289"/>
      <c r="R20" s="289"/>
      <c r="S20" s="289"/>
      <c r="T20" s="289"/>
      <c r="U20" s="289"/>
      <c r="V20" s="289"/>
      <c r="W20" s="289"/>
      <c r="X20" s="289"/>
    </row>
    <row r="21" spans="1:24" ht="15.75" hidden="1" customHeight="1">
      <c r="C21" s="328"/>
      <c r="D21" s="289"/>
      <c r="E21" s="289"/>
      <c r="F21" s="289"/>
      <c r="G21" s="289"/>
      <c r="H21" s="289"/>
      <c r="I21" s="289"/>
      <c r="J21" s="289"/>
      <c r="K21" s="289"/>
      <c r="L21" s="289"/>
      <c r="M21" s="289"/>
      <c r="N21" s="289"/>
      <c r="O21" s="289"/>
      <c r="P21" s="289"/>
      <c r="Q21" s="289"/>
      <c r="R21" s="289"/>
      <c r="S21" s="289"/>
      <c r="T21" s="289"/>
      <c r="U21" s="289"/>
      <c r="V21" s="289"/>
      <c r="W21" s="289"/>
      <c r="X21" s="289"/>
    </row>
    <row r="22" spans="1:24" ht="15.75" hidden="1" customHeight="1">
      <c r="C22" s="328"/>
      <c r="D22" s="289"/>
      <c r="E22" s="289"/>
      <c r="F22" s="289"/>
      <c r="G22" s="289"/>
      <c r="H22" s="289"/>
      <c r="I22" s="289"/>
      <c r="J22" s="289"/>
      <c r="K22" s="289"/>
      <c r="L22" s="289"/>
      <c r="M22" s="289"/>
      <c r="N22" s="289"/>
      <c r="O22" s="289"/>
      <c r="P22" s="289"/>
      <c r="Q22" s="289"/>
      <c r="R22" s="289"/>
      <c r="S22" s="289"/>
      <c r="T22" s="289"/>
      <c r="U22" s="289"/>
      <c r="V22" s="289"/>
      <c r="W22" s="289"/>
      <c r="X22" s="289"/>
    </row>
    <row r="23" spans="1:24" ht="15.75" hidden="1" customHeight="1">
      <c r="C23" s="328"/>
      <c r="D23" s="289"/>
      <c r="E23" s="289"/>
      <c r="F23" s="289"/>
      <c r="G23" s="289"/>
      <c r="H23" s="289"/>
      <c r="I23" s="289"/>
      <c r="J23" s="289"/>
      <c r="K23" s="289"/>
      <c r="L23" s="289"/>
      <c r="M23" s="289"/>
      <c r="N23" s="289"/>
      <c r="O23" s="289"/>
      <c r="P23" s="289"/>
      <c r="Q23" s="289"/>
      <c r="R23" s="289"/>
      <c r="S23" s="289"/>
      <c r="T23" s="289"/>
      <c r="U23" s="289"/>
      <c r="V23" s="289"/>
      <c r="W23" s="289"/>
      <c r="X23" s="289"/>
    </row>
    <row r="24" spans="1:24" ht="15.75" hidden="1" customHeight="1">
      <c r="C24" s="328"/>
      <c r="D24" s="289"/>
      <c r="E24" s="289"/>
      <c r="F24" s="289"/>
      <c r="G24" s="289"/>
      <c r="H24" s="289"/>
      <c r="I24" s="289"/>
      <c r="J24" s="289"/>
      <c r="K24" s="289"/>
      <c r="L24" s="289"/>
      <c r="M24" s="289"/>
      <c r="N24" s="289"/>
      <c r="O24" s="289"/>
      <c r="P24" s="289"/>
      <c r="Q24" s="289"/>
      <c r="R24" s="289"/>
      <c r="S24" s="289"/>
      <c r="T24" s="289"/>
      <c r="U24" s="289"/>
      <c r="V24" s="289"/>
      <c r="W24" s="289"/>
      <c r="X24" s="289"/>
    </row>
    <row r="25" spans="1:24" ht="15.75" hidden="1" customHeight="1">
      <c r="C25" s="328"/>
      <c r="D25" s="289"/>
      <c r="E25" s="289"/>
      <c r="F25" s="289"/>
      <c r="G25" s="289"/>
      <c r="H25" s="289"/>
      <c r="I25" s="289"/>
      <c r="J25" s="289"/>
      <c r="K25" s="289"/>
      <c r="L25" s="289"/>
      <c r="M25" s="289"/>
      <c r="N25" s="289"/>
      <c r="O25" s="289"/>
      <c r="P25" s="289"/>
      <c r="Q25" s="289"/>
      <c r="R25" s="289"/>
      <c r="S25" s="289"/>
      <c r="T25" s="289"/>
      <c r="U25" s="289"/>
      <c r="V25" s="289"/>
      <c r="W25" s="289"/>
      <c r="X25" s="289"/>
    </row>
    <row r="26" spans="1:24" ht="15.75" customHeight="1">
      <c r="C26" s="328"/>
      <c r="D26" s="289"/>
      <c r="E26" s="289"/>
      <c r="F26" s="289"/>
      <c r="G26" s="289"/>
      <c r="H26" s="289"/>
      <c r="I26" s="289"/>
      <c r="J26" s="289"/>
      <c r="K26" s="289"/>
      <c r="L26" s="289"/>
      <c r="M26" s="289"/>
      <c r="N26" s="289"/>
      <c r="O26" s="289"/>
      <c r="P26" s="289"/>
      <c r="Q26" s="289"/>
      <c r="R26" s="289"/>
      <c r="S26" s="289"/>
      <c r="T26" s="289"/>
      <c r="U26" s="289"/>
      <c r="V26" s="289"/>
      <c r="W26" s="289"/>
      <c r="X26" s="289"/>
    </row>
    <row r="27" spans="1:24" ht="15.75" customHeight="1">
      <c r="C27" s="328"/>
      <c r="D27" s="289"/>
      <c r="E27" s="289"/>
      <c r="F27" s="289"/>
      <c r="G27" s="289"/>
      <c r="H27" s="289"/>
      <c r="I27" s="289"/>
      <c r="J27" s="289"/>
      <c r="K27" s="289"/>
      <c r="L27" s="289"/>
      <c r="M27" s="289"/>
      <c r="N27" s="289"/>
      <c r="O27" s="289"/>
      <c r="P27" s="289"/>
      <c r="Q27" s="289"/>
      <c r="R27" s="289"/>
      <c r="S27" s="289"/>
      <c r="T27" s="289"/>
      <c r="U27" s="289"/>
      <c r="V27" s="289"/>
      <c r="W27" s="289"/>
      <c r="X27" s="289"/>
    </row>
    <row r="28" spans="1:24" ht="15.75" customHeight="1">
      <c r="C28" s="328"/>
      <c r="D28" s="289"/>
      <c r="E28" s="289"/>
      <c r="F28" s="289"/>
      <c r="G28" s="289"/>
      <c r="H28" s="289"/>
      <c r="I28" s="289"/>
      <c r="J28" s="289"/>
      <c r="K28" s="289"/>
      <c r="L28" s="289"/>
      <c r="M28" s="289"/>
      <c r="N28" s="289"/>
      <c r="O28" s="289"/>
      <c r="P28" s="289"/>
      <c r="Q28" s="289"/>
      <c r="R28" s="289"/>
      <c r="S28" s="289"/>
      <c r="T28" s="289"/>
      <c r="U28" s="289"/>
      <c r="V28" s="289"/>
      <c r="W28" s="289"/>
      <c r="X28" s="289"/>
    </row>
    <row r="29" spans="1:24" ht="15.75" customHeight="1">
      <c r="C29" s="328"/>
      <c r="D29" s="289"/>
      <c r="E29" s="289"/>
      <c r="F29" s="289"/>
      <c r="G29" s="289"/>
      <c r="H29" s="289"/>
      <c r="I29" s="289"/>
      <c r="J29" s="289"/>
      <c r="K29" s="289"/>
      <c r="L29" s="289"/>
      <c r="M29" s="289"/>
      <c r="N29" s="289"/>
      <c r="O29" s="289"/>
      <c r="P29" s="289"/>
      <c r="Q29" s="289"/>
      <c r="R29" s="289"/>
      <c r="S29" s="289"/>
      <c r="T29" s="289"/>
      <c r="U29" s="289"/>
      <c r="V29" s="289"/>
      <c r="W29" s="289"/>
      <c r="X29" s="289"/>
    </row>
    <row r="30" spans="1:24" ht="15.75" customHeight="1">
      <c r="C30" s="328"/>
      <c r="D30" s="289"/>
      <c r="E30" s="289"/>
      <c r="F30" s="289"/>
      <c r="G30" s="289"/>
      <c r="H30" s="289"/>
      <c r="I30" s="289"/>
      <c r="J30" s="289"/>
      <c r="K30" s="289"/>
      <c r="L30" s="289"/>
      <c r="M30" s="289"/>
      <c r="N30" s="289"/>
      <c r="O30" s="289"/>
      <c r="P30" s="289"/>
      <c r="Q30" s="289"/>
      <c r="R30" s="289"/>
      <c r="S30" s="289"/>
      <c r="T30" s="289"/>
      <c r="U30" s="289"/>
      <c r="V30" s="289"/>
      <c r="W30" s="289"/>
      <c r="X30" s="289"/>
    </row>
    <row r="31" spans="1:24" ht="15.75" customHeight="1">
      <c r="C31" s="328"/>
      <c r="D31" s="289"/>
      <c r="E31" s="289"/>
      <c r="F31" s="289"/>
      <c r="G31" s="289"/>
      <c r="H31" s="289"/>
      <c r="I31" s="289"/>
      <c r="J31" s="289"/>
      <c r="K31" s="289"/>
      <c r="L31" s="289"/>
      <c r="M31" s="289"/>
      <c r="N31" s="289"/>
      <c r="O31" s="289"/>
      <c r="P31" s="289"/>
      <c r="Q31" s="289"/>
      <c r="R31" s="289"/>
      <c r="S31" s="289"/>
      <c r="T31" s="289"/>
      <c r="U31" s="289"/>
      <c r="V31" s="289"/>
      <c r="W31" s="289"/>
      <c r="X31" s="289"/>
    </row>
    <row r="32" spans="1:24" ht="15.75" customHeight="1">
      <c r="C32" s="328"/>
      <c r="D32" s="289"/>
      <c r="E32" s="289"/>
      <c r="F32" s="289"/>
      <c r="G32" s="289"/>
      <c r="H32" s="289"/>
      <c r="I32" s="289"/>
      <c r="J32" s="289"/>
      <c r="K32" s="289"/>
      <c r="L32" s="289"/>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289"/>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289"/>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289"/>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3:24" ht="15.75" customHeight="1"/>
    <row r="220" spans="3:24" ht="15.75" customHeight="1"/>
    <row r="221" spans="3:24" ht="15.75" customHeight="1"/>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ageMargins left="0.7" right="0.7" top="0.75" bottom="0.75" header="0" footer="0"/>
  <pageSetup orientation="landscape"/>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X966"/>
  <sheetViews>
    <sheetView workbookViewId="0"/>
  </sheetViews>
  <sheetFormatPr defaultColWidth="12.5703125" defaultRowHeight="15" customHeight="1"/>
  <cols>
    <col min="1" max="1" width="4" customWidth="1"/>
    <col min="2" max="2" width="28.28515625" customWidth="1"/>
    <col min="3" max="3" width="11.140625" customWidth="1"/>
    <col min="4" max="4" width="13.42578125" customWidth="1"/>
    <col min="5" max="5" width="10.140625" customWidth="1"/>
    <col min="6" max="6" width="12.140625" customWidth="1"/>
    <col min="7" max="7" width="14.42578125" customWidth="1"/>
    <col min="8" max="8" width="2.28515625" customWidth="1"/>
    <col min="9" max="9" width="65.42578125" customWidth="1"/>
    <col min="10" max="10" width="2.57031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42578125" customWidth="1"/>
    <col min="24" max="24" width="11.42578125" customWidth="1"/>
  </cols>
  <sheetData>
    <row r="1" spans="1:24" ht="15.75" customHeight="1">
      <c r="A1" s="128" t="s">
        <v>122</v>
      </c>
      <c r="B1" s="129"/>
      <c r="C1" s="292"/>
      <c r="D1" s="132"/>
      <c r="E1" s="132"/>
      <c r="F1" s="132"/>
      <c r="G1" s="132"/>
      <c r="H1" s="132"/>
      <c r="I1" s="132"/>
      <c r="J1" s="132"/>
      <c r="K1" s="132"/>
      <c r="L1" s="210"/>
      <c r="M1" s="130"/>
      <c r="N1" s="129"/>
      <c r="O1" s="129"/>
      <c r="P1" s="129"/>
      <c r="Q1" s="129"/>
      <c r="R1" s="129"/>
      <c r="S1" s="129"/>
      <c r="T1" s="129"/>
      <c r="U1" s="129"/>
      <c r="V1" s="129"/>
      <c r="W1" s="129"/>
      <c r="X1" s="129"/>
    </row>
    <row r="2" spans="1:24" ht="15.75" customHeight="1">
      <c r="A2" s="128" t="s">
        <v>550</v>
      </c>
      <c r="B2" s="129"/>
      <c r="C2" s="292"/>
      <c r="D2" s="132"/>
      <c r="E2" s="132"/>
      <c r="F2" s="132"/>
      <c r="G2" s="132"/>
      <c r="H2" s="132"/>
      <c r="I2" s="132"/>
      <c r="J2" s="132"/>
      <c r="K2" s="132"/>
      <c r="L2" s="132"/>
      <c r="M2" s="129"/>
      <c r="N2" s="129"/>
      <c r="O2" s="129"/>
      <c r="P2" s="129"/>
      <c r="Q2" s="129"/>
      <c r="R2" s="129"/>
      <c r="S2" s="129"/>
      <c r="T2" s="129"/>
      <c r="U2" s="129"/>
      <c r="V2" s="129"/>
      <c r="W2" s="129"/>
      <c r="X2" s="129"/>
    </row>
    <row r="3" spans="1:24" ht="15.75" customHeight="1">
      <c r="A3" s="293"/>
      <c r="B3" s="294"/>
      <c r="C3" s="292"/>
      <c r="D3" s="132"/>
      <c r="E3" s="132"/>
      <c r="F3" s="132"/>
      <c r="G3" s="132"/>
      <c r="H3" s="132"/>
      <c r="I3" s="132"/>
      <c r="J3" s="132"/>
      <c r="K3" s="132"/>
      <c r="L3" s="132"/>
      <c r="M3" s="129"/>
      <c r="N3" s="129"/>
      <c r="O3" s="129"/>
      <c r="P3" s="129"/>
      <c r="Q3" s="129"/>
      <c r="R3" s="135"/>
      <c r="S3" s="135"/>
      <c r="T3" s="129"/>
      <c r="U3" s="129"/>
      <c r="V3" s="129"/>
      <c r="W3" s="129"/>
      <c r="X3" s="129"/>
    </row>
    <row r="4" spans="1:24" ht="51"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34.5" customHeight="1">
      <c r="A5" s="129"/>
      <c r="B5" s="129" t="s">
        <v>551</v>
      </c>
      <c r="C5" s="292">
        <v>15000</v>
      </c>
      <c r="D5" s="67">
        <v>10169.4</v>
      </c>
      <c r="E5" s="67">
        <v>7000</v>
      </c>
      <c r="F5" s="67">
        <v>20000</v>
      </c>
      <c r="G5" s="67">
        <f t="shared" ref="G5:G6" si="0">F5-C5</f>
        <v>5000</v>
      </c>
      <c r="H5" s="317"/>
      <c r="I5" s="357" t="s">
        <v>552</v>
      </c>
      <c r="J5" s="317"/>
      <c r="K5" s="433">
        <v>2000</v>
      </c>
      <c r="L5" s="396">
        <v>2000</v>
      </c>
      <c r="M5" s="396">
        <v>2000</v>
      </c>
      <c r="N5" s="396">
        <v>2000</v>
      </c>
      <c r="O5" s="396">
        <v>2000</v>
      </c>
      <c r="P5" s="396">
        <v>0</v>
      </c>
      <c r="Q5" s="396">
        <v>3000</v>
      </c>
      <c r="R5" s="396">
        <v>3000</v>
      </c>
      <c r="S5" s="396">
        <v>2000</v>
      </c>
      <c r="T5" s="396">
        <v>1000</v>
      </c>
      <c r="U5" s="396">
        <v>1000</v>
      </c>
      <c r="V5" s="396">
        <v>0</v>
      </c>
      <c r="W5" s="397"/>
      <c r="X5" s="396">
        <f>SUM(K5:V5)</f>
        <v>20000</v>
      </c>
    </row>
    <row r="6" spans="1:24" ht="15.75" customHeight="1">
      <c r="A6" s="128" t="s">
        <v>153</v>
      </c>
      <c r="B6" s="128"/>
      <c r="C6" s="335">
        <f t="shared" ref="C6:F6" si="1">SUM(C5)</f>
        <v>15000</v>
      </c>
      <c r="D6" s="190">
        <f t="shared" si="1"/>
        <v>10169.4</v>
      </c>
      <c r="E6" s="190">
        <f t="shared" si="1"/>
        <v>7000</v>
      </c>
      <c r="F6" s="190">
        <f t="shared" si="1"/>
        <v>20000</v>
      </c>
      <c r="G6" s="553">
        <f t="shared" si="0"/>
        <v>5000</v>
      </c>
      <c r="H6" s="192"/>
      <c r="I6" s="229"/>
      <c r="J6" s="192"/>
      <c r="K6" s="398">
        <f t="shared" ref="K6:V6" si="2">SUM(K5)</f>
        <v>2000</v>
      </c>
      <c r="L6" s="398">
        <f t="shared" si="2"/>
        <v>2000</v>
      </c>
      <c r="M6" s="398">
        <f t="shared" si="2"/>
        <v>2000</v>
      </c>
      <c r="N6" s="398">
        <f t="shared" si="2"/>
        <v>2000</v>
      </c>
      <c r="O6" s="398">
        <f t="shared" si="2"/>
        <v>2000</v>
      </c>
      <c r="P6" s="398">
        <f t="shared" si="2"/>
        <v>0</v>
      </c>
      <c r="Q6" s="398">
        <f t="shared" si="2"/>
        <v>3000</v>
      </c>
      <c r="R6" s="398">
        <f t="shared" si="2"/>
        <v>3000</v>
      </c>
      <c r="S6" s="398">
        <f t="shared" si="2"/>
        <v>2000</v>
      </c>
      <c r="T6" s="398">
        <f t="shared" si="2"/>
        <v>1000</v>
      </c>
      <c r="U6" s="398">
        <f t="shared" si="2"/>
        <v>1000</v>
      </c>
      <c r="V6" s="398">
        <f t="shared" si="2"/>
        <v>0</v>
      </c>
      <c r="W6" s="194"/>
      <c r="X6" s="398">
        <f>SUM(X5)</f>
        <v>20000</v>
      </c>
    </row>
    <row r="7" spans="1:24" ht="15.75" customHeight="1">
      <c r="A7" s="128"/>
      <c r="B7" s="129"/>
      <c r="C7" s="292"/>
      <c r="D7" s="198"/>
      <c r="E7" s="198"/>
      <c r="F7" s="198"/>
      <c r="G7" s="198"/>
      <c r="H7" s="198"/>
      <c r="I7" s="198"/>
      <c r="J7" s="198"/>
      <c r="K7" s="198"/>
      <c r="L7" s="198"/>
      <c r="M7" s="135"/>
      <c r="N7" s="135"/>
      <c r="O7" s="135"/>
      <c r="P7" s="135"/>
      <c r="Q7" s="135"/>
      <c r="R7" s="135"/>
      <c r="S7" s="135"/>
      <c r="T7" s="135"/>
      <c r="U7" s="135"/>
      <c r="V7" s="135"/>
      <c r="W7" s="135"/>
      <c r="X7" s="135"/>
    </row>
    <row r="8" spans="1:24" ht="29.25" customHeight="1">
      <c r="A8" s="128" t="s">
        <v>154</v>
      </c>
      <c r="B8" s="129"/>
      <c r="C8" s="137"/>
      <c r="D8" s="140"/>
      <c r="E8" s="140"/>
      <c r="F8" s="140"/>
      <c r="G8" s="140"/>
      <c r="H8" s="198"/>
      <c r="I8" s="198"/>
      <c r="J8" s="198"/>
      <c r="K8" s="198"/>
      <c r="L8" s="198"/>
      <c r="M8" s="295"/>
      <c r="N8" s="295"/>
      <c r="O8" s="295"/>
      <c r="P8" s="295"/>
      <c r="Q8" s="295"/>
      <c r="R8" s="295"/>
      <c r="S8" s="295"/>
      <c r="T8" s="295"/>
      <c r="U8" s="295"/>
      <c r="V8" s="295"/>
      <c r="W8" s="295"/>
      <c r="X8" s="295"/>
    </row>
    <row r="9" spans="1:24" ht="31.5" customHeight="1">
      <c r="A9" s="129"/>
      <c r="B9" s="165" t="s">
        <v>553</v>
      </c>
      <c r="C9" s="166">
        <v>30000</v>
      </c>
      <c r="D9" s="67">
        <v>10585</v>
      </c>
      <c r="E9" s="67">
        <v>2750</v>
      </c>
      <c r="F9" s="67">
        <v>28270</v>
      </c>
      <c r="G9" s="67">
        <f t="shared" ref="G9:G11" si="3">F9-C9</f>
        <v>-1730</v>
      </c>
      <c r="H9" s="317"/>
      <c r="I9" s="357" t="s">
        <v>554</v>
      </c>
      <c r="J9" s="317"/>
      <c r="K9" s="349">
        <v>460</v>
      </c>
      <c r="L9" s="554">
        <v>460</v>
      </c>
      <c r="M9" s="554">
        <v>460</v>
      </c>
      <c r="N9" s="554">
        <f>460+10125</f>
        <v>10585</v>
      </c>
      <c r="O9" s="554">
        <v>460</v>
      </c>
      <c r="P9" s="554">
        <v>460</v>
      </c>
      <c r="Q9" s="554">
        <v>460</v>
      </c>
      <c r="R9" s="554">
        <v>460</v>
      </c>
      <c r="S9" s="554">
        <f>460+4625-500</f>
        <v>4585</v>
      </c>
      <c r="T9" s="554">
        <v>460</v>
      </c>
      <c r="U9" s="554">
        <f>460+8500</f>
        <v>8960</v>
      </c>
      <c r="V9" s="554">
        <v>460</v>
      </c>
      <c r="W9" s="555"/>
      <c r="X9" s="554">
        <f t="shared" ref="X9:X10" si="4">SUM(K9:V9)</f>
        <v>28270</v>
      </c>
    </row>
    <row r="10" spans="1:24" ht="30" customHeight="1">
      <c r="A10" s="129"/>
      <c r="B10" s="165" t="s">
        <v>555</v>
      </c>
      <c r="C10" s="155">
        <v>20000</v>
      </c>
      <c r="D10" s="67">
        <v>25594.2</v>
      </c>
      <c r="E10" s="67">
        <v>8000</v>
      </c>
      <c r="F10" s="67">
        <f>43250-3250</f>
        <v>40000</v>
      </c>
      <c r="G10" s="67">
        <f t="shared" si="3"/>
        <v>20000</v>
      </c>
      <c r="H10" s="317"/>
      <c r="I10" s="357" t="s">
        <v>556</v>
      </c>
      <c r="J10" s="317"/>
      <c r="K10" s="433">
        <v>500</v>
      </c>
      <c r="L10" s="396">
        <v>10000</v>
      </c>
      <c r="M10" s="396">
        <v>2600</v>
      </c>
      <c r="N10" s="396">
        <v>5300</v>
      </c>
      <c r="O10" s="396">
        <v>3000</v>
      </c>
      <c r="P10" s="396">
        <v>3000</v>
      </c>
      <c r="Q10" s="396">
        <v>5300</v>
      </c>
      <c r="R10" s="396">
        <v>4800</v>
      </c>
      <c r="S10" s="396">
        <v>3000</v>
      </c>
      <c r="T10" s="396">
        <v>500</v>
      </c>
      <c r="U10" s="396">
        <v>2000</v>
      </c>
      <c r="V10" s="538">
        <v>0</v>
      </c>
      <c r="W10" s="397"/>
      <c r="X10" s="396">
        <f t="shared" si="4"/>
        <v>40000</v>
      </c>
    </row>
    <row r="11" spans="1:24" ht="15.75" customHeight="1">
      <c r="A11" s="128" t="s">
        <v>557</v>
      </c>
      <c r="B11" s="128"/>
      <c r="C11" s="384">
        <f t="shared" ref="C11:F11" si="5">SUM(C9:C10)</f>
        <v>50000</v>
      </c>
      <c r="D11" s="514">
        <f t="shared" si="5"/>
        <v>36179.199999999997</v>
      </c>
      <c r="E11" s="514">
        <f t="shared" si="5"/>
        <v>10750</v>
      </c>
      <c r="F11" s="514">
        <f t="shared" si="5"/>
        <v>68270</v>
      </c>
      <c r="G11" s="353">
        <f t="shared" si="3"/>
        <v>18270</v>
      </c>
      <c r="H11" s="516"/>
      <c r="I11" s="514"/>
      <c r="J11" s="516"/>
      <c r="K11" s="517">
        <f t="shared" ref="K11:V11" si="6">K9+K10</f>
        <v>960</v>
      </c>
      <c r="L11" s="517">
        <f t="shared" si="6"/>
        <v>10460</v>
      </c>
      <c r="M11" s="517">
        <f t="shared" si="6"/>
        <v>3060</v>
      </c>
      <c r="N11" s="517">
        <f t="shared" si="6"/>
        <v>15885</v>
      </c>
      <c r="O11" s="517">
        <f t="shared" si="6"/>
        <v>3460</v>
      </c>
      <c r="P11" s="517">
        <f t="shared" si="6"/>
        <v>3460</v>
      </c>
      <c r="Q11" s="517">
        <f t="shared" si="6"/>
        <v>5760</v>
      </c>
      <c r="R11" s="517">
        <f t="shared" si="6"/>
        <v>5260</v>
      </c>
      <c r="S11" s="517">
        <f t="shared" si="6"/>
        <v>7585</v>
      </c>
      <c r="T11" s="517">
        <f t="shared" si="6"/>
        <v>960</v>
      </c>
      <c r="U11" s="517">
        <f t="shared" si="6"/>
        <v>10960</v>
      </c>
      <c r="V11" s="517">
        <f t="shared" si="6"/>
        <v>460</v>
      </c>
      <c r="W11" s="518"/>
      <c r="X11" s="517">
        <f>X9+X10</f>
        <v>68270</v>
      </c>
    </row>
    <row r="12" spans="1:24" ht="15.75" customHeight="1">
      <c r="A12" s="129"/>
      <c r="B12" s="129"/>
      <c r="C12" s="292"/>
      <c r="D12" s="198"/>
      <c r="E12" s="198"/>
      <c r="F12" s="198"/>
      <c r="G12" s="198"/>
      <c r="H12" s="198"/>
      <c r="I12" s="198"/>
      <c r="J12" s="198"/>
      <c r="K12" s="198"/>
      <c r="L12" s="198"/>
      <c r="M12" s="196"/>
      <c r="N12" s="196"/>
      <c r="O12" s="196"/>
      <c r="P12" s="196"/>
      <c r="Q12" s="196"/>
      <c r="R12" s="196"/>
      <c r="S12" s="196"/>
      <c r="T12" s="196"/>
      <c r="U12" s="196"/>
      <c r="V12" s="196"/>
      <c r="W12" s="196"/>
      <c r="X12" s="196"/>
    </row>
    <row r="13" spans="1:24" ht="15.75" hidden="1" customHeight="1">
      <c r="A13" s="276" t="s">
        <v>291</v>
      </c>
      <c r="B13" s="129"/>
      <c r="C13" s="292"/>
      <c r="D13" s="210"/>
      <c r="E13" s="210"/>
      <c r="F13" s="210"/>
      <c r="G13" s="210"/>
      <c r="H13" s="210"/>
      <c r="I13" s="210"/>
      <c r="J13" s="210"/>
      <c r="K13" s="326">
        <f>K6-K11</f>
        <v>1040</v>
      </c>
      <c r="L13" s="326"/>
      <c r="M13" s="278">
        <f>M6-M11</f>
        <v>-1060</v>
      </c>
      <c r="N13" s="278"/>
      <c r="O13" s="278">
        <f>O6-O11</f>
        <v>-1460</v>
      </c>
      <c r="P13" s="278"/>
      <c r="Q13" s="278">
        <f>Q6-Q11</f>
        <v>-2760</v>
      </c>
      <c r="R13" s="278"/>
      <c r="S13" s="278">
        <f>S6-S11</f>
        <v>-5585</v>
      </c>
      <c r="T13" s="278"/>
      <c r="U13" s="278">
        <f>U6-U11</f>
        <v>-9960</v>
      </c>
      <c r="V13" s="278"/>
      <c r="W13" s="278">
        <f t="shared" ref="W13:X13" si="7">W6-W11</f>
        <v>0</v>
      </c>
      <c r="X13" s="278">
        <f t="shared" si="7"/>
        <v>-48270</v>
      </c>
    </row>
    <row r="14" spans="1:24" ht="15.75" hidden="1" customHeight="1">
      <c r="A14" s="128"/>
      <c r="B14" s="129"/>
      <c r="C14" s="292"/>
      <c r="D14" s="132"/>
      <c r="E14" s="132"/>
      <c r="F14" s="132"/>
      <c r="G14" s="132"/>
      <c r="H14" s="132"/>
      <c r="I14" s="132"/>
      <c r="J14" s="132"/>
      <c r="K14" s="132"/>
      <c r="L14" s="132"/>
      <c r="M14" s="129"/>
      <c r="N14" s="129"/>
      <c r="O14" s="129"/>
      <c r="P14" s="129"/>
      <c r="Q14" s="129"/>
      <c r="R14" s="129"/>
      <c r="S14" s="129"/>
      <c r="T14" s="129"/>
      <c r="U14" s="129"/>
      <c r="V14" s="129"/>
      <c r="W14" s="129"/>
      <c r="X14" s="129"/>
    </row>
    <row r="15" spans="1:24" ht="15.75" hidden="1" customHeight="1">
      <c r="C15" s="328"/>
      <c r="D15" s="289"/>
      <c r="E15" s="289"/>
      <c r="F15" s="289"/>
      <c r="G15" s="289"/>
      <c r="H15" s="289"/>
      <c r="I15" s="289"/>
      <c r="J15" s="289"/>
      <c r="K15" s="289"/>
      <c r="L15" s="289"/>
      <c r="M15" s="289"/>
      <c r="N15" s="289"/>
      <c r="O15" s="289"/>
      <c r="P15" s="289"/>
      <c r="Q15" s="289"/>
      <c r="R15" s="289"/>
      <c r="S15" s="289"/>
      <c r="T15" s="289"/>
      <c r="U15" s="289"/>
      <c r="V15" s="289"/>
      <c r="W15" s="289"/>
      <c r="X15" s="289"/>
    </row>
    <row r="16" spans="1:24" ht="15.75" hidden="1" customHeight="1">
      <c r="C16" s="328"/>
      <c r="D16" s="289"/>
      <c r="E16" s="289"/>
      <c r="F16" s="289"/>
      <c r="G16" s="289"/>
      <c r="H16" s="289"/>
      <c r="I16" s="289"/>
      <c r="J16" s="289"/>
      <c r="K16" s="289"/>
      <c r="L16" s="289"/>
      <c r="M16" s="289"/>
      <c r="N16" s="289"/>
      <c r="O16" s="289"/>
      <c r="P16" s="289"/>
      <c r="Q16" s="289"/>
      <c r="R16" s="289"/>
      <c r="S16" s="289"/>
      <c r="T16" s="289"/>
      <c r="U16" s="289"/>
      <c r="V16" s="289"/>
      <c r="W16" s="289"/>
      <c r="X16" s="289"/>
    </row>
    <row r="17" spans="3:24" ht="15.75" hidden="1" customHeight="1">
      <c r="C17" s="328"/>
      <c r="D17" s="289"/>
      <c r="E17" s="289"/>
      <c r="F17" s="289"/>
      <c r="G17" s="289"/>
      <c r="H17" s="289"/>
      <c r="I17" s="289"/>
      <c r="J17" s="289"/>
      <c r="K17" s="289"/>
      <c r="L17" s="289"/>
      <c r="M17" s="289"/>
      <c r="N17" s="289"/>
      <c r="O17" s="289"/>
      <c r="P17" s="289"/>
      <c r="Q17" s="289"/>
      <c r="R17" s="289"/>
      <c r="S17" s="289"/>
      <c r="T17" s="289"/>
      <c r="U17" s="289"/>
      <c r="V17" s="289"/>
      <c r="W17" s="289"/>
      <c r="X17" s="289"/>
    </row>
    <row r="18" spans="3:24" ht="15.75" hidden="1" customHeight="1">
      <c r="C18" s="328"/>
      <c r="D18" s="289"/>
      <c r="E18" s="289"/>
      <c r="F18" s="289"/>
      <c r="G18" s="289"/>
      <c r="H18" s="289"/>
      <c r="I18" s="289"/>
      <c r="J18" s="289"/>
      <c r="K18" s="289"/>
      <c r="L18" s="289"/>
      <c r="M18" s="289"/>
      <c r="N18" s="289"/>
      <c r="O18" s="289"/>
      <c r="P18" s="289"/>
      <c r="Q18" s="289"/>
      <c r="R18" s="289"/>
      <c r="S18" s="289"/>
      <c r="T18" s="289"/>
      <c r="U18" s="289"/>
      <c r="V18" s="289"/>
      <c r="W18" s="289"/>
      <c r="X18" s="289"/>
    </row>
    <row r="19" spans="3:24" ht="15.75" hidden="1" customHeight="1">
      <c r="C19" s="328"/>
      <c r="D19" s="289"/>
      <c r="E19" s="289"/>
      <c r="F19" s="289"/>
      <c r="G19" s="289"/>
      <c r="H19" s="289"/>
      <c r="I19" s="289"/>
      <c r="J19" s="289"/>
      <c r="K19" s="289"/>
      <c r="L19" s="289"/>
      <c r="M19" s="289"/>
      <c r="N19" s="289"/>
      <c r="O19" s="289"/>
      <c r="P19" s="289"/>
      <c r="Q19" s="289"/>
      <c r="R19" s="289"/>
      <c r="S19" s="289"/>
      <c r="T19" s="289"/>
      <c r="U19" s="289"/>
      <c r="V19" s="289"/>
      <c r="W19" s="289"/>
      <c r="X19" s="289"/>
    </row>
    <row r="20" spans="3:24" ht="15.75" hidden="1" customHeight="1">
      <c r="C20" s="328"/>
      <c r="D20" s="289"/>
      <c r="E20" s="289"/>
      <c r="F20" s="289"/>
      <c r="G20" s="289"/>
      <c r="H20" s="289"/>
      <c r="I20" s="289"/>
      <c r="J20" s="289"/>
      <c r="K20" s="289"/>
      <c r="L20" s="289"/>
      <c r="M20" s="289"/>
      <c r="N20" s="289"/>
      <c r="O20" s="289"/>
      <c r="P20" s="289"/>
      <c r="Q20" s="289"/>
      <c r="R20" s="289"/>
      <c r="S20" s="289"/>
      <c r="T20" s="289"/>
      <c r="U20" s="289"/>
      <c r="V20" s="289"/>
      <c r="W20" s="289"/>
      <c r="X20" s="289"/>
    </row>
    <row r="21" spans="3:24" ht="15.75" hidden="1" customHeight="1">
      <c r="C21" s="328"/>
      <c r="D21" s="289"/>
      <c r="E21" s="289"/>
      <c r="F21" s="289"/>
      <c r="G21" s="289"/>
      <c r="H21" s="289"/>
      <c r="I21" s="289"/>
      <c r="J21" s="289"/>
      <c r="K21" s="289"/>
      <c r="L21" s="289"/>
      <c r="M21" s="289"/>
      <c r="N21" s="289"/>
      <c r="O21" s="289"/>
      <c r="P21" s="289"/>
      <c r="Q21" s="289"/>
      <c r="R21" s="289"/>
      <c r="S21" s="289"/>
      <c r="T21" s="289"/>
      <c r="U21" s="289"/>
      <c r="V21" s="289"/>
      <c r="W21" s="289"/>
      <c r="X21" s="289"/>
    </row>
    <row r="22" spans="3:24" ht="15.75" hidden="1" customHeight="1">
      <c r="C22" s="328"/>
      <c r="D22" s="289"/>
      <c r="E22" s="289"/>
      <c r="F22" s="289"/>
      <c r="G22" s="289"/>
      <c r="H22" s="289"/>
      <c r="I22" s="289"/>
      <c r="J22" s="289"/>
      <c r="K22" s="289"/>
      <c r="L22" s="289"/>
      <c r="M22" s="289"/>
      <c r="N22" s="289"/>
      <c r="O22" s="289"/>
      <c r="P22" s="289"/>
      <c r="Q22" s="289"/>
      <c r="R22" s="289"/>
      <c r="S22" s="289"/>
      <c r="T22" s="289"/>
      <c r="U22" s="289"/>
      <c r="V22" s="289"/>
      <c r="W22" s="289"/>
      <c r="X22" s="289"/>
    </row>
    <row r="23" spans="3:24" ht="15.75" customHeight="1">
      <c r="C23" s="328"/>
      <c r="D23" s="289"/>
      <c r="E23" s="289"/>
      <c r="F23" s="289"/>
      <c r="G23" s="289"/>
      <c r="H23" s="289"/>
      <c r="I23" s="289"/>
      <c r="J23" s="289"/>
      <c r="K23" s="289"/>
      <c r="L23" s="289"/>
      <c r="M23" s="289"/>
      <c r="N23" s="289"/>
      <c r="O23" s="289"/>
      <c r="P23" s="289"/>
      <c r="Q23" s="289"/>
      <c r="R23" s="289"/>
      <c r="S23" s="289"/>
      <c r="T23" s="289"/>
      <c r="U23" s="289"/>
      <c r="V23" s="289"/>
      <c r="W23" s="289"/>
      <c r="X23" s="289"/>
    </row>
    <row r="24" spans="3:24" ht="15.75" customHeight="1">
      <c r="C24" s="328"/>
      <c r="D24" s="289"/>
      <c r="E24" s="289"/>
      <c r="F24" s="289"/>
      <c r="G24" s="289"/>
      <c r="H24" s="289"/>
      <c r="I24" s="289"/>
      <c r="J24" s="289"/>
      <c r="K24" s="289"/>
      <c r="L24" s="289"/>
      <c r="M24" s="289"/>
      <c r="N24" s="289"/>
      <c r="O24" s="289"/>
      <c r="P24" s="289"/>
      <c r="Q24" s="289"/>
      <c r="R24" s="289"/>
      <c r="S24" s="289"/>
      <c r="T24" s="289"/>
      <c r="U24" s="289"/>
      <c r="V24" s="289"/>
      <c r="W24" s="289"/>
      <c r="X24" s="289"/>
    </row>
    <row r="25" spans="3:24" ht="15.75" customHeight="1">
      <c r="C25" s="328"/>
      <c r="D25" s="289"/>
      <c r="E25" s="289"/>
      <c r="F25" s="289"/>
      <c r="G25" s="289"/>
      <c r="H25" s="289"/>
      <c r="I25" s="289"/>
      <c r="J25" s="289"/>
      <c r="K25" s="289"/>
      <c r="L25" s="289"/>
      <c r="M25" s="289"/>
      <c r="N25" s="289"/>
      <c r="O25" s="289"/>
      <c r="P25" s="289"/>
      <c r="Q25" s="289"/>
      <c r="R25" s="289"/>
      <c r="S25" s="289"/>
      <c r="T25" s="289"/>
      <c r="U25" s="289"/>
      <c r="V25" s="289"/>
      <c r="W25" s="289"/>
      <c r="X25" s="289"/>
    </row>
    <row r="26" spans="3:24" ht="15.75" customHeight="1">
      <c r="C26" s="328"/>
      <c r="D26" s="289"/>
      <c r="E26" s="289"/>
      <c r="F26" s="289"/>
      <c r="G26" s="289"/>
      <c r="H26" s="289"/>
      <c r="I26" s="289"/>
      <c r="J26" s="289"/>
      <c r="K26" s="289"/>
      <c r="L26" s="289"/>
      <c r="M26" s="289"/>
      <c r="N26" s="289"/>
      <c r="O26" s="289"/>
      <c r="P26" s="289"/>
      <c r="Q26" s="289"/>
      <c r="R26" s="289"/>
      <c r="S26" s="289"/>
      <c r="T26" s="289"/>
      <c r="U26" s="289"/>
      <c r="V26" s="289"/>
      <c r="W26" s="289"/>
      <c r="X26" s="289"/>
    </row>
    <row r="27" spans="3:24" ht="15.75" customHeight="1">
      <c r="C27" s="328"/>
      <c r="D27" s="289"/>
      <c r="E27" s="289"/>
      <c r="F27" s="289"/>
      <c r="G27" s="289"/>
      <c r="H27" s="289"/>
      <c r="I27" s="289"/>
      <c r="J27" s="289"/>
      <c r="K27" s="289"/>
      <c r="L27" s="289"/>
      <c r="M27" s="289"/>
      <c r="N27" s="289"/>
      <c r="O27" s="289"/>
      <c r="P27" s="289"/>
      <c r="Q27" s="289"/>
      <c r="R27" s="289"/>
      <c r="S27" s="289"/>
      <c r="T27" s="289"/>
      <c r="U27" s="289"/>
      <c r="V27" s="289"/>
      <c r="W27" s="289"/>
      <c r="X27" s="289"/>
    </row>
    <row r="28" spans="3:24" ht="15.75" customHeight="1">
      <c r="C28" s="328"/>
      <c r="D28" s="289"/>
      <c r="E28" s="289"/>
      <c r="F28" s="289"/>
      <c r="G28" s="289"/>
      <c r="H28" s="289"/>
      <c r="I28" s="289"/>
      <c r="J28" s="289"/>
      <c r="K28" s="289"/>
      <c r="L28" s="289"/>
      <c r="M28" s="289"/>
      <c r="N28" s="289"/>
      <c r="O28" s="289"/>
      <c r="P28" s="289"/>
      <c r="Q28" s="289"/>
      <c r="R28" s="289"/>
      <c r="S28" s="289"/>
      <c r="T28" s="289"/>
      <c r="U28" s="289"/>
      <c r="V28" s="289"/>
      <c r="W28" s="289"/>
      <c r="X28" s="289"/>
    </row>
    <row r="29" spans="3:24" ht="15.75" customHeight="1">
      <c r="C29" s="328"/>
      <c r="D29" s="289"/>
      <c r="E29" s="289"/>
      <c r="F29" s="289"/>
      <c r="G29" s="289"/>
      <c r="H29" s="289"/>
      <c r="I29" s="289"/>
      <c r="J29" s="289"/>
      <c r="K29" s="289"/>
      <c r="L29" s="289"/>
      <c r="M29" s="289"/>
      <c r="N29" s="289"/>
      <c r="O29" s="289"/>
      <c r="P29" s="289"/>
      <c r="Q29" s="289"/>
      <c r="R29" s="289"/>
      <c r="S29" s="289"/>
      <c r="T29" s="289"/>
      <c r="U29" s="289"/>
      <c r="V29" s="289"/>
      <c r="W29" s="289"/>
      <c r="X29" s="289"/>
    </row>
    <row r="30" spans="3:24" ht="15.75" customHeight="1">
      <c r="C30" s="328"/>
      <c r="D30" s="289"/>
      <c r="E30" s="289"/>
      <c r="F30" s="289"/>
      <c r="G30" s="289"/>
      <c r="H30" s="289"/>
      <c r="I30" s="289"/>
      <c r="J30" s="289"/>
      <c r="K30" s="289"/>
      <c r="L30" s="289"/>
      <c r="M30" s="289"/>
      <c r="N30" s="289"/>
      <c r="O30" s="289"/>
      <c r="P30" s="289"/>
      <c r="Q30" s="289"/>
      <c r="R30" s="289"/>
      <c r="S30" s="289"/>
      <c r="T30" s="289"/>
      <c r="U30" s="289"/>
      <c r="V30" s="289"/>
      <c r="W30" s="289"/>
      <c r="X30" s="289"/>
    </row>
    <row r="31" spans="3:24" ht="15.75" customHeight="1">
      <c r="C31" s="328"/>
      <c r="D31" s="289"/>
      <c r="E31" s="289"/>
      <c r="F31" s="289"/>
      <c r="G31" s="289"/>
      <c r="H31" s="289"/>
      <c r="I31" s="289"/>
      <c r="J31" s="289"/>
      <c r="K31" s="289"/>
      <c r="L31" s="289"/>
      <c r="M31" s="289"/>
      <c r="N31" s="289"/>
      <c r="O31" s="289"/>
      <c r="P31" s="289"/>
      <c r="Q31" s="289"/>
      <c r="R31" s="289"/>
      <c r="S31" s="289"/>
      <c r="T31" s="289"/>
      <c r="U31" s="289"/>
      <c r="V31" s="289"/>
      <c r="W31" s="289"/>
      <c r="X31" s="289"/>
    </row>
    <row r="32" spans="3:24" ht="15.75" customHeight="1">
      <c r="C32" s="328"/>
      <c r="D32" s="289"/>
      <c r="E32" s="289"/>
      <c r="F32" s="289"/>
      <c r="G32" s="289"/>
      <c r="H32" s="289"/>
      <c r="I32" s="289"/>
      <c r="J32" s="289"/>
      <c r="K32" s="289"/>
      <c r="L32" s="289"/>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289"/>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289"/>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289"/>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row r="188" spans="3:24" ht="15.75" customHeight="1"/>
    <row r="189" spans="3:24" ht="15.75" customHeight="1"/>
    <row r="190" spans="3:24" ht="15.75" customHeight="1"/>
    <row r="191" spans="3:24" ht="15.75" customHeight="1"/>
    <row r="192" spans="3:24"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sheetData>
  <pageMargins left="0.7" right="0.7" top="0.75" bottom="0.75" header="0" footer="0"/>
  <pageSetup orientation="landscape"/>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X999"/>
  <sheetViews>
    <sheetView workbookViewId="0"/>
  </sheetViews>
  <sheetFormatPr defaultColWidth="12.5703125" defaultRowHeight="15" customHeight="1"/>
  <cols>
    <col min="1" max="1" width="4" customWidth="1"/>
    <col min="2" max="2" width="20.42578125" customWidth="1"/>
    <col min="3" max="3" width="13.5703125" customWidth="1"/>
    <col min="4" max="4" width="12.5703125" customWidth="1"/>
    <col min="5" max="5" width="13" customWidth="1"/>
    <col min="6" max="6" width="10.42578125" customWidth="1"/>
    <col min="7" max="7" width="12.28515625" customWidth="1"/>
    <col min="8" max="8" width="1.85546875" customWidth="1"/>
    <col min="9" max="9" width="53.5703125" customWidth="1"/>
    <col min="10" max="10" width="2.140625" customWidth="1"/>
    <col min="11" max="11" width="8.140625" customWidth="1"/>
    <col min="12" max="12" width="11" customWidth="1"/>
    <col min="13" max="13" width="9.140625" customWidth="1"/>
    <col min="14" max="14" width="8.5703125" customWidth="1"/>
    <col min="15" max="16" width="9.42578125" customWidth="1"/>
    <col min="17" max="17" width="8.5703125" customWidth="1"/>
    <col min="18" max="18" width="8.28515625" customWidth="1"/>
    <col min="19" max="19" width="8.85546875" customWidth="1"/>
    <col min="20" max="20" width="8.42578125" customWidth="1"/>
    <col min="21" max="21" width="8.140625" customWidth="1"/>
    <col min="22" max="22" width="9" customWidth="1"/>
    <col min="23" max="23" width="2.140625" customWidth="1"/>
    <col min="24" max="24" width="11.42578125" customWidth="1"/>
  </cols>
  <sheetData>
    <row r="1" spans="1:24" ht="15.75" customHeight="1">
      <c r="A1" s="128" t="s">
        <v>122</v>
      </c>
      <c r="B1" s="129"/>
      <c r="C1" s="292"/>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558</v>
      </c>
      <c r="B2" s="129"/>
      <c r="C2" s="292"/>
      <c r="D2" s="129"/>
      <c r="E2" s="129"/>
      <c r="F2" s="129"/>
      <c r="G2" s="129"/>
      <c r="H2" s="129"/>
      <c r="I2" s="129"/>
      <c r="J2" s="129"/>
      <c r="K2" s="129"/>
      <c r="L2" s="129"/>
      <c r="M2" s="129"/>
      <c r="N2" s="129"/>
      <c r="O2" s="129"/>
      <c r="P2" s="129"/>
      <c r="Q2" s="129"/>
      <c r="R2" s="129"/>
      <c r="S2" s="129"/>
      <c r="T2" s="129"/>
      <c r="U2" s="129"/>
      <c r="V2" s="129"/>
      <c r="W2" s="129"/>
      <c r="X2" s="129"/>
    </row>
    <row r="3" spans="1:24" ht="15.75" customHeight="1">
      <c r="A3" s="293"/>
      <c r="B3" s="294"/>
      <c r="C3" s="292"/>
      <c r="D3" s="129"/>
      <c r="E3" s="129"/>
      <c r="F3" s="129"/>
      <c r="G3" s="129"/>
      <c r="H3" s="129"/>
      <c r="I3" s="129"/>
      <c r="J3" s="129"/>
      <c r="K3" s="129"/>
      <c r="L3" s="129"/>
      <c r="M3" s="129"/>
      <c r="N3" s="129"/>
      <c r="O3" s="129"/>
      <c r="P3" s="129"/>
      <c r="Q3" s="129"/>
      <c r="R3" s="135"/>
      <c r="S3" s="135"/>
      <c r="T3" s="129"/>
      <c r="U3" s="129"/>
      <c r="V3" s="129"/>
      <c r="W3" s="129"/>
      <c r="X3" s="129"/>
    </row>
    <row r="4" spans="1:24" ht="39"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28.5" customHeight="1">
      <c r="A5" s="129"/>
      <c r="B5" s="129" t="s">
        <v>559</v>
      </c>
      <c r="C5" s="292">
        <v>35000</v>
      </c>
      <c r="D5" s="210">
        <v>58102.14</v>
      </c>
      <c r="E5" s="67">
        <v>12500</v>
      </c>
      <c r="F5" s="67">
        <v>102000</v>
      </c>
      <c r="G5" s="210">
        <f t="shared" ref="G5:G6" si="0">F5-C5</f>
        <v>67000</v>
      </c>
      <c r="H5" s="249"/>
      <c r="I5" s="556" t="s">
        <v>560</v>
      </c>
      <c r="J5" s="249"/>
      <c r="K5" s="433">
        <v>0</v>
      </c>
      <c r="L5" s="557">
        <v>36500</v>
      </c>
      <c r="M5" s="396">
        <v>7500</v>
      </c>
      <c r="N5" s="396">
        <v>7500</v>
      </c>
      <c r="O5" s="557">
        <v>27000</v>
      </c>
      <c r="P5" s="396">
        <v>5000</v>
      </c>
      <c r="Q5" s="396">
        <v>7500</v>
      </c>
      <c r="R5" s="396">
        <v>6000</v>
      </c>
      <c r="S5" s="396">
        <v>5000</v>
      </c>
      <c r="T5" s="396">
        <v>0</v>
      </c>
      <c r="U5" s="396">
        <v>0</v>
      </c>
      <c r="V5" s="396">
        <v>0</v>
      </c>
      <c r="W5" s="397"/>
      <c r="X5" s="396">
        <f>SUM(K5:V5)</f>
        <v>102000</v>
      </c>
    </row>
    <row r="6" spans="1:24" ht="15.75" customHeight="1">
      <c r="A6" s="128" t="s">
        <v>153</v>
      </c>
      <c r="B6" s="128"/>
      <c r="C6" s="335">
        <f t="shared" ref="C6:F6" si="1">SUM(C5)</f>
        <v>35000</v>
      </c>
      <c r="D6" s="190">
        <f t="shared" si="1"/>
        <v>58102.14</v>
      </c>
      <c r="E6" s="190">
        <f t="shared" si="1"/>
        <v>12500</v>
      </c>
      <c r="F6" s="190">
        <f t="shared" si="1"/>
        <v>102000</v>
      </c>
      <c r="G6" s="190">
        <f t="shared" si="0"/>
        <v>67000</v>
      </c>
      <c r="H6" s="192"/>
      <c r="I6" s="229"/>
      <c r="J6" s="192"/>
      <c r="K6" s="398">
        <f t="shared" ref="K6:V6" si="2">SUM(K5)</f>
        <v>0</v>
      </c>
      <c r="L6" s="398">
        <f t="shared" si="2"/>
        <v>36500</v>
      </c>
      <c r="M6" s="398">
        <f t="shared" si="2"/>
        <v>7500</v>
      </c>
      <c r="N6" s="398">
        <f t="shared" si="2"/>
        <v>7500</v>
      </c>
      <c r="O6" s="398">
        <f t="shared" si="2"/>
        <v>27000</v>
      </c>
      <c r="P6" s="398">
        <f t="shared" si="2"/>
        <v>5000</v>
      </c>
      <c r="Q6" s="398">
        <f t="shared" si="2"/>
        <v>7500</v>
      </c>
      <c r="R6" s="398">
        <f t="shared" si="2"/>
        <v>6000</v>
      </c>
      <c r="S6" s="398">
        <f t="shared" si="2"/>
        <v>5000</v>
      </c>
      <c r="T6" s="398">
        <f t="shared" si="2"/>
        <v>0</v>
      </c>
      <c r="U6" s="398">
        <f t="shared" si="2"/>
        <v>0</v>
      </c>
      <c r="V6" s="398">
        <f t="shared" si="2"/>
        <v>0</v>
      </c>
      <c r="W6" s="194"/>
      <c r="X6" s="398">
        <f>SUM(X5)</f>
        <v>102000</v>
      </c>
    </row>
    <row r="7" spans="1:24" ht="15.75" customHeight="1">
      <c r="A7" s="128"/>
      <c r="B7" s="129"/>
      <c r="C7" s="292"/>
      <c r="D7" s="135"/>
      <c r="E7" s="135"/>
      <c r="F7" s="135"/>
      <c r="G7" s="135"/>
      <c r="H7" s="135"/>
      <c r="I7" s="399"/>
      <c r="J7" s="135"/>
      <c r="K7" s="135"/>
      <c r="L7" s="135"/>
      <c r="M7" s="135"/>
      <c r="N7" s="135"/>
      <c r="O7" s="135"/>
      <c r="P7" s="135"/>
      <c r="Q7" s="135"/>
      <c r="R7" s="135"/>
      <c r="S7" s="135"/>
      <c r="T7" s="135"/>
      <c r="U7" s="135"/>
      <c r="V7" s="135"/>
      <c r="W7" s="135"/>
      <c r="X7" s="135"/>
    </row>
    <row r="8" spans="1:24" ht="15.75" customHeight="1">
      <c r="A8" s="128" t="s">
        <v>154</v>
      </c>
      <c r="B8" s="129"/>
      <c r="C8" s="292"/>
      <c r="D8" s="295"/>
      <c r="E8" s="295"/>
      <c r="F8" s="295"/>
      <c r="G8" s="295"/>
      <c r="H8" s="295"/>
      <c r="I8" s="540"/>
      <c r="J8" s="295"/>
      <c r="K8" s="295"/>
      <c r="L8" s="295"/>
      <c r="M8" s="295"/>
      <c r="N8" s="295"/>
      <c r="O8" s="295"/>
      <c r="P8" s="295"/>
      <c r="Q8" s="295"/>
      <c r="R8" s="295"/>
      <c r="S8" s="295"/>
      <c r="T8" s="295"/>
      <c r="U8" s="295"/>
      <c r="V8" s="295"/>
      <c r="W8" s="295"/>
      <c r="X8" s="295"/>
    </row>
    <row r="9" spans="1:24" ht="15.75" customHeight="1">
      <c r="A9" s="129"/>
      <c r="B9" s="107" t="s">
        <v>360</v>
      </c>
      <c r="C9" s="542">
        <v>0</v>
      </c>
      <c r="D9" s="67">
        <v>12272.5</v>
      </c>
      <c r="E9" s="67">
        <v>15500</v>
      </c>
      <c r="F9" s="558">
        <v>38000</v>
      </c>
      <c r="G9" s="351">
        <f t="shared" ref="G9:G12" si="3">F9-C9</f>
        <v>38000</v>
      </c>
      <c r="H9" s="211"/>
      <c r="I9" s="351"/>
      <c r="J9" s="211"/>
      <c r="K9" s="349">
        <v>0</v>
      </c>
      <c r="L9" s="554">
        <v>0</v>
      </c>
      <c r="M9" s="554">
        <v>5000</v>
      </c>
      <c r="N9" s="554">
        <v>5000</v>
      </c>
      <c r="O9" s="554">
        <v>10000</v>
      </c>
      <c r="P9" s="554">
        <v>2500</v>
      </c>
      <c r="Q9" s="554">
        <v>3000</v>
      </c>
      <c r="R9" s="554">
        <v>5000</v>
      </c>
      <c r="S9" s="554">
        <v>7500</v>
      </c>
      <c r="T9" s="554" t="s">
        <v>5</v>
      </c>
      <c r="U9" s="554">
        <v>0</v>
      </c>
      <c r="V9" s="554">
        <v>0</v>
      </c>
      <c r="W9" s="559"/>
      <c r="X9" s="391">
        <f t="shared" ref="X9:X11" si="4">SUM(K9:V9)</f>
        <v>38000</v>
      </c>
    </row>
    <row r="10" spans="1:24" ht="15.75" customHeight="1">
      <c r="A10" s="129"/>
      <c r="B10" s="346" t="s">
        <v>561</v>
      </c>
      <c r="C10" s="347">
        <v>35000</v>
      </c>
      <c r="D10" s="67">
        <v>64244.38</v>
      </c>
      <c r="E10" s="67">
        <v>5000</v>
      </c>
      <c r="F10" s="67">
        <v>31600</v>
      </c>
      <c r="G10" s="351">
        <f t="shared" si="3"/>
        <v>-3400</v>
      </c>
      <c r="H10" s="211"/>
      <c r="I10" s="351"/>
      <c r="J10" s="211"/>
      <c r="K10" s="318">
        <v>0</v>
      </c>
      <c r="L10" s="319">
        <v>6000</v>
      </c>
      <c r="M10" s="319">
        <v>7800</v>
      </c>
      <c r="N10" s="319">
        <v>5000</v>
      </c>
      <c r="O10" s="319">
        <v>9300</v>
      </c>
      <c r="P10" s="319">
        <v>250</v>
      </c>
      <c r="Q10" s="319">
        <v>250</v>
      </c>
      <c r="R10" s="319">
        <v>2000</v>
      </c>
      <c r="S10" s="319">
        <v>1000</v>
      </c>
      <c r="T10" s="319">
        <v>0</v>
      </c>
      <c r="U10" s="319">
        <v>0</v>
      </c>
      <c r="V10" s="319">
        <v>0</v>
      </c>
      <c r="W10" s="397"/>
      <c r="X10" s="319">
        <f t="shared" si="4"/>
        <v>31600</v>
      </c>
    </row>
    <row r="11" spans="1:24" ht="29.25" customHeight="1">
      <c r="A11" s="207"/>
      <c r="B11" s="346" t="s">
        <v>99</v>
      </c>
      <c r="C11" s="347">
        <v>0</v>
      </c>
      <c r="D11" s="67">
        <v>0</v>
      </c>
      <c r="E11" s="67">
        <v>5000</v>
      </c>
      <c r="F11" s="67">
        <v>31500</v>
      </c>
      <c r="G11" s="351">
        <f t="shared" si="3"/>
        <v>31500</v>
      </c>
      <c r="H11" s="508"/>
      <c r="I11" s="560" t="s">
        <v>562</v>
      </c>
      <c r="J11" s="508"/>
      <c r="K11" s="433">
        <v>0</v>
      </c>
      <c r="L11" s="396">
        <v>10500</v>
      </c>
      <c r="M11" s="396">
        <v>0</v>
      </c>
      <c r="N11" s="396">
        <v>0</v>
      </c>
      <c r="O11" s="396">
        <v>10500</v>
      </c>
      <c r="P11" s="396">
        <v>0</v>
      </c>
      <c r="Q11" s="396">
        <v>10500</v>
      </c>
      <c r="R11" s="396">
        <v>0</v>
      </c>
      <c r="S11" s="396">
        <v>0</v>
      </c>
      <c r="T11" s="396">
        <v>0</v>
      </c>
      <c r="U11" s="396">
        <v>0</v>
      </c>
      <c r="V11" s="396">
        <v>0</v>
      </c>
      <c r="W11" s="561"/>
      <c r="X11" s="319">
        <f t="shared" si="4"/>
        <v>31500</v>
      </c>
    </row>
    <row r="12" spans="1:24" ht="15.75" customHeight="1">
      <c r="A12" s="128" t="s">
        <v>563</v>
      </c>
      <c r="B12" s="128"/>
      <c r="C12" s="384">
        <f t="shared" ref="C12:F12" si="5">SUM(C9:C11)</f>
        <v>35000</v>
      </c>
      <c r="D12" s="514">
        <f t="shared" si="5"/>
        <v>76516.88</v>
      </c>
      <c r="E12" s="514">
        <f t="shared" si="5"/>
        <v>25500</v>
      </c>
      <c r="F12" s="514">
        <f t="shared" si="5"/>
        <v>101100</v>
      </c>
      <c r="G12" s="515">
        <f t="shared" si="3"/>
        <v>66100</v>
      </c>
      <c r="H12" s="516"/>
      <c r="I12" s="378"/>
      <c r="J12" s="516"/>
      <c r="K12" s="551">
        <f t="shared" ref="K12:V12" si="6">SUM(K9:K11)</f>
        <v>0</v>
      </c>
      <c r="L12" s="551">
        <f t="shared" si="6"/>
        <v>16500</v>
      </c>
      <c r="M12" s="551">
        <f t="shared" si="6"/>
        <v>12800</v>
      </c>
      <c r="N12" s="551">
        <f t="shared" si="6"/>
        <v>10000</v>
      </c>
      <c r="O12" s="551">
        <f t="shared" si="6"/>
        <v>29800</v>
      </c>
      <c r="P12" s="551">
        <f t="shared" si="6"/>
        <v>2750</v>
      </c>
      <c r="Q12" s="551">
        <f t="shared" si="6"/>
        <v>13750</v>
      </c>
      <c r="R12" s="551">
        <f t="shared" si="6"/>
        <v>7000</v>
      </c>
      <c r="S12" s="551">
        <f t="shared" si="6"/>
        <v>8500</v>
      </c>
      <c r="T12" s="551">
        <f t="shared" si="6"/>
        <v>0</v>
      </c>
      <c r="U12" s="551">
        <f t="shared" si="6"/>
        <v>0</v>
      </c>
      <c r="V12" s="551">
        <f t="shared" si="6"/>
        <v>0</v>
      </c>
      <c r="W12" s="518"/>
      <c r="X12" s="551">
        <f>SUM(X9:X11)</f>
        <v>101100</v>
      </c>
    </row>
    <row r="13" spans="1:24" ht="15.75" customHeight="1">
      <c r="A13" s="129"/>
      <c r="B13" s="129"/>
      <c r="C13" s="292"/>
      <c r="D13" s="196"/>
      <c r="E13" s="196"/>
      <c r="F13" s="196"/>
      <c r="G13" s="196"/>
      <c r="H13" s="196"/>
      <c r="I13" s="419"/>
      <c r="J13" s="196"/>
      <c r="K13" s="196"/>
      <c r="L13" s="196"/>
      <c r="M13" s="196"/>
      <c r="N13" s="196"/>
      <c r="O13" s="196"/>
      <c r="P13" s="196"/>
      <c r="Q13" s="196"/>
      <c r="R13" s="196"/>
      <c r="S13" s="196"/>
      <c r="T13" s="196"/>
      <c r="U13" s="196"/>
      <c r="V13" s="196"/>
      <c r="W13" s="196"/>
      <c r="X13" s="196"/>
    </row>
    <row r="14" spans="1:24" ht="15.75" hidden="1" customHeight="1">
      <c r="A14" s="276" t="s">
        <v>291</v>
      </c>
      <c r="B14" s="129"/>
      <c r="C14" s="292"/>
      <c r="D14" s="277"/>
      <c r="E14" s="277"/>
      <c r="F14" s="277"/>
      <c r="G14" s="277"/>
      <c r="H14" s="277"/>
      <c r="I14" s="210"/>
      <c r="J14" s="277"/>
      <c r="K14" s="278">
        <f>K6-K12</f>
        <v>0</v>
      </c>
      <c r="L14" s="278"/>
      <c r="M14" s="278">
        <f>M6-M12</f>
        <v>-5300</v>
      </c>
      <c r="N14" s="278"/>
      <c r="O14" s="278">
        <f>O6-O12</f>
        <v>-2800</v>
      </c>
      <c r="P14" s="278"/>
      <c r="Q14" s="278">
        <f>Q6-Q12</f>
        <v>-6250</v>
      </c>
      <c r="R14" s="278"/>
      <c r="S14" s="278">
        <f>S6-S12</f>
        <v>-3500</v>
      </c>
      <c r="T14" s="278"/>
      <c r="U14" s="278">
        <f>U6-U12</f>
        <v>0</v>
      </c>
      <c r="V14" s="278"/>
      <c r="W14" s="278">
        <f t="shared" ref="W14:X14" si="7">W6-W12</f>
        <v>0</v>
      </c>
      <c r="X14" s="278">
        <f t="shared" si="7"/>
        <v>900</v>
      </c>
    </row>
    <row r="15" spans="1:24" ht="15.75" hidden="1" customHeight="1">
      <c r="A15" s="128"/>
      <c r="B15" s="129"/>
      <c r="C15" s="292"/>
      <c r="D15" s="129"/>
      <c r="E15" s="129"/>
      <c r="F15" s="129"/>
      <c r="G15" s="129"/>
      <c r="H15" s="129"/>
      <c r="I15" s="207"/>
      <c r="J15" s="129"/>
      <c r="K15" s="129"/>
      <c r="L15" s="129"/>
      <c r="M15" s="129"/>
      <c r="N15" s="129"/>
      <c r="O15" s="129"/>
      <c r="P15" s="129"/>
      <c r="Q15" s="129"/>
      <c r="R15" s="129"/>
      <c r="S15" s="129"/>
      <c r="T15" s="129"/>
      <c r="U15" s="129"/>
      <c r="V15" s="129"/>
      <c r="W15" s="129"/>
      <c r="X15" s="129"/>
    </row>
    <row r="16" spans="1:24" ht="15.75" hidden="1" customHeight="1">
      <c r="C16" s="328"/>
      <c r="D16" s="289"/>
      <c r="E16" s="289"/>
      <c r="F16" s="289"/>
      <c r="G16" s="289"/>
      <c r="H16" s="289"/>
      <c r="I16" s="289"/>
      <c r="J16" s="289"/>
      <c r="K16" s="289"/>
      <c r="L16" s="289"/>
      <c r="M16" s="289"/>
      <c r="N16" s="289"/>
      <c r="O16" s="289"/>
      <c r="P16" s="289"/>
      <c r="Q16" s="289"/>
      <c r="R16" s="289"/>
      <c r="S16" s="289"/>
      <c r="T16" s="289"/>
      <c r="U16" s="289"/>
      <c r="V16" s="289"/>
      <c r="W16" s="289"/>
      <c r="X16" s="289"/>
    </row>
    <row r="17" spans="3:24" ht="15.75" hidden="1" customHeight="1">
      <c r="C17" s="328"/>
      <c r="D17" s="289"/>
      <c r="E17" s="289"/>
      <c r="F17" s="289"/>
      <c r="G17" s="289"/>
      <c r="H17" s="289"/>
      <c r="I17" s="289"/>
      <c r="J17" s="289"/>
      <c r="K17" s="289"/>
      <c r="L17" s="289"/>
      <c r="M17" s="289"/>
      <c r="N17" s="289"/>
      <c r="O17" s="289"/>
      <c r="P17" s="289"/>
      <c r="Q17" s="289"/>
      <c r="R17" s="289"/>
      <c r="S17" s="289"/>
      <c r="T17" s="289"/>
      <c r="U17" s="289"/>
      <c r="V17" s="289"/>
      <c r="W17" s="289"/>
      <c r="X17" s="289"/>
    </row>
    <row r="18" spans="3:24" ht="15.75" hidden="1" customHeight="1">
      <c r="C18" s="328"/>
      <c r="D18" s="289"/>
      <c r="E18" s="289"/>
      <c r="F18" s="289"/>
      <c r="G18" s="289"/>
      <c r="H18" s="289"/>
      <c r="I18" s="289"/>
      <c r="J18" s="289"/>
      <c r="K18" s="289"/>
      <c r="L18" s="289"/>
      <c r="M18" s="289"/>
      <c r="N18" s="289"/>
      <c r="O18" s="289"/>
      <c r="P18" s="289"/>
      <c r="Q18" s="289"/>
      <c r="R18" s="289"/>
      <c r="S18" s="289"/>
      <c r="T18" s="289"/>
      <c r="U18" s="289"/>
      <c r="V18" s="289"/>
      <c r="W18" s="289"/>
      <c r="X18" s="289"/>
    </row>
    <row r="19" spans="3:24" ht="15.75" hidden="1" customHeight="1">
      <c r="C19" s="328"/>
      <c r="D19" s="289"/>
      <c r="E19" s="289"/>
      <c r="F19" s="289"/>
      <c r="G19" s="289"/>
      <c r="H19" s="289"/>
      <c r="I19" s="289"/>
      <c r="J19" s="289"/>
      <c r="K19" s="289"/>
      <c r="L19" s="289"/>
      <c r="M19" s="289"/>
      <c r="N19" s="289"/>
      <c r="O19" s="289"/>
      <c r="P19" s="289"/>
      <c r="Q19" s="289"/>
      <c r="R19" s="289"/>
      <c r="S19" s="289"/>
      <c r="T19" s="289"/>
      <c r="U19" s="289"/>
      <c r="V19" s="289"/>
      <c r="W19" s="289"/>
      <c r="X19" s="289"/>
    </row>
    <row r="20" spans="3:24" ht="15.75" hidden="1" customHeight="1">
      <c r="C20" s="328"/>
      <c r="D20" s="289"/>
      <c r="E20" s="289"/>
      <c r="F20" s="289"/>
      <c r="G20" s="289"/>
      <c r="H20" s="289"/>
      <c r="I20" s="289"/>
      <c r="J20" s="289"/>
      <c r="K20" s="289"/>
      <c r="L20" s="289"/>
      <c r="M20" s="289"/>
      <c r="N20" s="289"/>
      <c r="O20" s="289"/>
      <c r="P20" s="289"/>
      <c r="Q20" s="289"/>
      <c r="R20" s="289"/>
      <c r="S20" s="289"/>
      <c r="T20" s="289"/>
      <c r="U20" s="289"/>
      <c r="V20" s="289"/>
      <c r="W20" s="289"/>
      <c r="X20" s="289"/>
    </row>
    <row r="21" spans="3:24" ht="15.75" hidden="1" customHeight="1">
      <c r="C21" s="328"/>
      <c r="D21" s="289"/>
      <c r="E21" s="289"/>
      <c r="F21" s="289"/>
      <c r="G21" s="289"/>
      <c r="H21" s="289"/>
      <c r="I21" s="289"/>
      <c r="J21" s="289"/>
      <c r="K21" s="289"/>
      <c r="L21" s="289"/>
      <c r="M21" s="289"/>
      <c r="N21" s="289"/>
      <c r="O21" s="289"/>
      <c r="P21" s="289"/>
      <c r="Q21" s="289"/>
      <c r="R21" s="289"/>
      <c r="S21" s="289"/>
      <c r="T21" s="289"/>
      <c r="U21" s="289"/>
      <c r="V21" s="289"/>
      <c r="W21" s="289"/>
      <c r="X21" s="289"/>
    </row>
    <row r="22" spans="3:24" ht="15.75" hidden="1" customHeight="1">
      <c r="C22" s="328"/>
      <c r="D22" s="289"/>
      <c r="E22" s="289"/>
      <c r="F22" s="289"/>
      <c r="G22" s="289"/>
      <c r="H22" s="289"/>
      <c r="I22" s="289"/>
      <c r="J22" s="289"/>
      <c r="K22" s="289"/>
      <c r="L22" s="289"/>
      <c r="M22" s="289"/>
      <c r="N22" s="289"/>
      <c r="O22" s="289"/>
      <c r="P22" s="289"/>
      <c r="Q22" s="289"/>
      <c r="R22" s="289"/>
      <c r="S22" s="289"/>
      <c r="T22" s="289"/>
      <c r="U22" s="289"/>
      <c r="V22" s="289"/>
      <c r="W22" s="289"/>
      <c r="X22" s="289"/>
    </row>
    <row r="23" spans="3:24" ht="15.75" hidden="1" customHeight="1">
      <c r="C23" s="328"/>
      <c r="D23" s="289"/>
      <c r="E23" s="289"/>
      <c r="F23" s="289"/>
      <c r="G23" s="289"/>
      <c r="H23" s="289"/>
      <c r="I23" s="289"/>
      <c r="J23" s="289"/>
      <c r="K23" s="289"/>
      <c r="L23" s="289"/>
      <c r="M23" s="289"/>
      <c r="N23" s="289"/>
      <c r="O23" s="289"/>
      <c r="P23" s="289"/>
      <c r="Q23" s="289"/>
      <c r="R23" s="289"/>
      <c r="S23" s="289"/>
      <c r="T23" s="289"/>
      <c r="U23" s="289"/>
      <c r="V23" s="289"/>
      <c r="W23" s="289"/>
      <c r="X23" s="289"/>
    </row>
    <row r="24" spans="3:24" ht="15.75" customHeight="1">
      <c r="C24" s="328"/>
      <c r="D24" s="289"/>
      <c r="E24" s="289"/>
      <c r="F24" s="289"/>
      <c r="G24" s="289"/>
      <c r="H24" s="289"/>
      <c r="I24" s="289"/>
      <c r="J24" s="289"/>
      <c r="K24" s="289"/>
      <c r="L24" s="289"/>
      <c r="M24" s="289"/>
      <c r="N24" s="289"/>
      <c r="O24" s="289"/>
      <c r="P24" s="289"/>
      <c r="Q24" s="289"/>
      <c r="R24" s="289"/>
      <c r="S24" s="289"/>
      <c r="T24" s="289"/>
      <c r="U24" s="289"/>
      <c r="V24" s="289"/>
      <c r="W24" s="289"/>
      <c r="X24" s="289"/>
    </row>
    <row r="25" spans="3:24" ht="15.75" customHeight="1">
      <c r="C25" s="328"/>
      <c r="D25" s="289"/>
      <c r="E25" s="289"/>
      <c r="F25" s="289"/>
      <c r="G25" s="289"/>
      <c r="H25" s="289"/>
      <c r="I25" s="562" t="s">
        <v>564</v>
      </c>
      <c r="J25" s="289"/>
      <c r="K25" s="289"/>
      <c r="L25" s="289"/>
      <c r="M25" s="289"/>
      <c r="N25" s="289"/>
      <c r="O25" s="289"/>
      <c r="P25" s="289"/>
      <c r="Q25" s="289"/>
      <c r="R25" s="289"/>
      <c r="S25" s="289"/>
      <c r="T25" s="289"/>
      <c r="U25" s="289"/>
      <c r="V25" s="289"/>
      <c r="W25" s="289"/>
      <c r="X25" s="289"/>
    </row>
    <row r="26" spans="3:24" ht="15.75" customHeight="1">
      <c r="C26" s="328"/>
      <c r="D26" s="289"/>
      <c r="E26" s="289"/>
      <c r="F26" s="289"/>
      <c r="G26" s="289"/>
      <c r="H26" s="289"/>
      <c r="I26" s="428"/>
      <c r="J26" s="289"/>
      <c r="K26" s="289"/>
      <c r="L26" s="289"/>
      <c r="M26" s="289"/>
      <c r="N26" s="289"/>
      <c r="O26" s="289"/>
      <c r="P26" s="289"/>
      <c r="Q26" s="289"/>
      <c r="R26" s="289"/>
      <c r="S26" s="289"/>
      <c r="T26" s="289"/>
      <c r="U26" s="289"/>
      <c r="V26" s="289"/>
      <c r="W26" s="289"/>
      <c r="X26" s="289"/>
    </row>
    <row r="27" spans="3:24" ht="15.75" customHeight="1">
      <c r="C27" s="328"/>
      <c r="D27" s="289"/>
      <c r="E27" s="289"/>
      <c r="F27" s="289"/>
      <c r="G27" s="289"/>
      <c r="H27" s="289"/>
      <c r="I27" s="563" t="s">
        <v>565</v>
      </c>
      <c r="J27" s="289"/>
      <c r="K27" s="289"/>
      <c r="L27" s="289"/>
      <c r="M27" s="289"/>
      <c r="N27" s="289"/>
      <c r="O27" s="289"/>
      <c r="P27" s="289"/>
      <c r="Q27" s="289"/>
      <c r="R27" s="289"/>
      <c r="S27" s="289"/>
      <c r="T27" s="289"/>
      <c r="U27" s="289"/>
      <c r="V27" s="289"/>
      <c r="W27" s="289"/>
      <c r="X27" s="289"/>
    </row>
    <row r="28" spans="3:24" ht="15.75" customHeight="1">
      <c r="C28" s="328"/>
      <c r="D28" s="289"/>
      <c r="E28" s="289"/>
      <c r="F28" s="289"/>
      <c r="G28" s="289"/>
      <c r="H28" s="289"/>
      <c r="I28" s="564" t="s">
        <v>566</v>
      </c>
      <c r="J28" s="289"/>
      <c r="K28" s="289"/>
      <c r="L28" s="289"/>
      <c r="M28" s="289"/>
      <c r="N28" s="289"/>
      <c r="O28" s="289"/>
      <c r="P28" s="289"/>
      <c r="Q28" s="289"/>
      <c r="R28" s="289"/>
      <c r="S28" s="289"/>
      <c r="T28" s="289"/>
      <c r="U28" s="289"/>
      <c r="V28" s="289"/>
      <c r="W28" s="289"/>
      <c r="X28" s="289"/>
    </row>
    <row r="29" spans="3:24" ht="15.75" customHeight="1">
      <c r="C29" s="328"/>
      <c r="D29" s="289"/>
      <c r="E29" s="289"/>
      <c r="F29" s="289"/>
      <c r="G29" s="289"/>
      <c r="H29" s="289"/>
      <c r="I29" s="565" t="s">
        <v>567</v>
      </c>
      <c r="J29" s="289"/>
      <c r="K29" s="289"/>
      <c r="L29" s="289"/>
      <c r="M29" s="289"/>
      <c r="N29" s="289"/>
      <c r="O29" s="289"/>
      <c r="P29" s="289"/>
      <c r="Q29" s="289"/>
      <c r="R29" s="289"/>
      <c r="S29" s="289"/>
      <c r="T29" s="289"/>
      <c r="U29" s="289"/>
      <c r="V29" s="289"/>
      <c r="W29" s="289"/>
      <c r="X29" s="289"/>
    </row>
    <row r="30" spans="3:24" ht="15.75" customHeight="1">
      <c r="C30" s="328"/>
      <c r="D30" s="289"/>
      <c r="E30" s="289"/>
      <c r="F30" s="289"/>
      <c r="G30" s="289"/>
      <c r="H30" s="289"/>
      <c r="I30" s="565" t="s">
        <v>568</v>
      </c>
      <c r="J30" s="289"/>
      <c r="K30" s="289"/>
      <c r="L30" s="289"/>
      <c r="M30" s="289"/>
      <c r="N30" s="289"/>
      <c r="O30" s="289"/>
      <c r="P30" s="289"/>
      <c r="Q30" s="289"/>
      <c r="R30" s="289"/>
      <c r="S30" s="289"/>
      <c r="T30" s="289"/>
      <c r="U30" s="289"/>
      <c r="V30" s="289"/>
      <c r="W30" s="289"/>
      <c r="X30" s="289"/>
    </row>
    <row r="31" spans="3:24" ht="15.75" customHeight="1">
      <c r="C31" s="328"/>
      <c r="D31" s="289"/>
      <c r="E31" s="289"/>
      <c r="F31" s="289"/>
      <c r="G31" s="289"/>
      <c r="H31" s="289"/>
      <c r="I31" s="428"/>
      <c r="J31" s="289"/>
      <c r="K31" s="289"/>
      <c r="L31" s="289"/>
      <c r="M31" s="289"/>
      <c r="N31" s="289"/>
      <c r="O31" s="289"/>
      <c r="P31" s="289"/>
      <c r="Q31" s="289"/>
      <c r="R31" s="289"/>
      <c r="S31" s="289"/>
      <c r="T31" s="289"/>
      <c r="U31" s="289"/>
      <c r="V31" s="289"/>
      <c r="W31" s="289"/>
      <c r="X31" s="289"/>
    </row>
    <row r="32" spans="3:24" ht="15.75" customHeight="1">
      <c r="C32" s="328"/>
      <c r="D32" s="289"/>
      <c r="E32" s="289"/>
      <c r="F32" s="289"/>
      <c r="G32" s="289"/>
      <c r="H32" s="289"/>
      <c r="I32" s="562" t="s">
        <v>569</v>
      </c>
      <c r="J32" s="289"/>
      <c r="K32" s="289"/>
      <c r="L32" s="289"/>
      <c r="M32" s="289"/>
      <c r="N32" s="289"/>
      <c r="O32" s="289"/>
      <c r="P32" s="289"/>
      <c r="Q32" s="289"/>
      <c r="R32" s="289"/>
      <c r="S32" s="289"/>
      <c r="T32" s="289"/>
      <c r="U32" s="289"/>
      <c r="V32" s="289"/>
      <c r="W32" s="289"/>
      <c r="X32" s="289"/>
    </row>
    <row r="33" spans="3:24" ht="15.75" customHeight="1">
      <c r="C33" s="328"/>
      <c r="D33" s="289"/>
      <c r="E33" s="289"/>
      <c r="F33" s="289"/>
      <c r="G33" s="289"/>
      <c r="H33" s="289"/>
      <c r="I33" s="562" t="s">
        <v>570</v>
      </c>
      <c r="J33" s="289"/>
      <c r="K33" s="289"/>
      <c r="L33" s="289"/>
      <c r="M33" s="289"/>
      <c r="N33" s="289"/>
      <c r="O33" s="289"/>
      <c r="P33" s="289"/>
      <c r="Q33" s="289"/>
      <c r="R33" s="289"/>
      <c r="S33" s="289"/>
      <c r="T33" s="289"/>
      <c r="U33" s="289"/>
      <c r="V33" s="289"/>
      <c r="W33" s="289"/>
      <c r="X33" s="289"/>
    </row>
    <row r="34" spans="3:24" ht="15.75" customHeight="1">
      <c r="C34" s="328"/>
      <c r="D34" s="289"/>
      <c r="E34" s="289"/>
      <c r="F34" s="289"/>
      <c r="G34" s="289"/>
      <c r="H34" s="289"/>
      <c r="I34" s="562" t="s">
        <v>571</v>
      </c>
      <c r="J34" s="289"/>
      <c r="K34" s="289"/>
      <c r="L34" s="289"/>
      <c r="M34" s="289"/>
      <c r="N34" s="289"/>
      <c r="O34" s="289"/>
      <c r="P34" s="289"/>
      <c r="Q34" s="289"/>
      <c r="R34" s="289"/>
      <c r="S34" s="289"/>
      <c r="T34" s="289"/>
      <c r="U34" s="289"/>
      <c r="V34" s="289"/>
      <c r="W34" s="289"/>
      <c r="X34" s="289"/>
    </row>
    <row r="35" spans="3:24" ht="15.75" customHeight="1">
      <c r="C35" s="328"/>
      <c r="D35" s="289"/>
      <c r="E35" s="289"/>
      <c r="F35" s="289"/>
      <c r="G35" s="289"/>
      <c r="H35" s="289"/>
      <c r="I35" s="562" t="s">
        <v>572</v>
      </c>
      <c r="J35" s="289"/>
      <c r="K35" s="289"/>
      <c r="L35" s="289"/>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3:24" ht="15.75" customHeight="1">
      <c r="C219" s="328"/>
      <c r="D219" s="289"/>
      <c r="E219" s="289"/>
      <c r="F219" s="289"/>
      <c r="G219" s="289"/>
      <c r="H219" s="289"/>
      <c r="I219" s="289"/>
      <c r="J219" s="289"/>
      <c r="K219" s="289"/>
      <c r="L219" s="289"/>
      <c r="M219" s="289"/>
      <c r="N219" s="289"/>
      <c r="O219" s="289"/>
      <c r="P219" s="289"/>
      <c r="Q219" s="289"/>
      <c r="R219" s="289"/>
      <c r="S219" s="289"/>
      <c r="T219" s="289"/>
      <c r="U219" s="289"/>
      <c r="V219" s="289"/>
      <c r="W219" s="289"/>
      <c r="X219" s="289"/>
    </row>
    <row r="220" spans="3:24" ht="15.75" customHeight="1"/>
    <row r="221" spans="3:24" ht="15.75" customHeight="1"/>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ageMargins left="0.7" right="0.7" top="0.75" bottom="0.75" header="0" footer="0"/>
  <pageSetup orientation="landscape"/>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X998"/>
  <sheetViews>
    <sheetView workbookViewId="0"/>
  </sheetViews>
  <sheetFormatPr defaultColWidth="12.5703125" defaultRowHeight="15" customHeight="1"/>
  <cols>
    <col min="1" max="1" width="4" customWidth="1"/>
    <col min="2" max="2" width="31.140625" customWidth="1"/>
    <col min="3" max="3" width="13" customWidth="1"/>
    <col min="4" max="4" width="13.28515625" customWidth="1"/>
    <col min="5" max="5" width="13" customWidth="1"/>
    <col min="6" max="6" width="10.42578125" customWidth="1"/>
    <col min="7" max="7" width="14.28515625" customWidth="1"/>
    <col min="8" max="8" width="1.7109375" customWidth="1"/>
    <col min="9" max="9" width="59.7109375" customWidth="1"/>
    <col min="10" max="10" width="2.1406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5703125" customWidth="1"/>
    <col min="24" max="24" width="11.42578125" customWidth="1"/>
  </cols>
  <sheetData>
    <row r="1" spans="1:24" ht="15.75" customHeight="1">
      <c r="A1" s="128" t="s">
        <v>122</v>
      </c>
      <c r="B1" s="129"/>
      <c r="C1" s="292"/>
      <c r="D1" s="129"/>
      <c r="E1" s="129"/>
      <c r="F1" s="129"/>
      <c r="G1" s="129"/>
      <c r="H1" s="129"/>
      <c r="I1" s="207"/>
      <c r="J1" s="129"/>
      <c r="K1" s="129"/>
      <c r="L1" s="130"/>
      <c r="M1" s="130"/>
      <c r="N1" s="129"/>
      <c r="O1" s="129"/>
      <c r="P1" s="129"/>
      <c r="Q1" s="129"/>
      <c r="R1" s="129"/>
      <c r="S1" s="129"/>
      <c r="T1" s="129"/>
      <c r="U1" s="129"/>
      <c r="V1" s="129"/>
      <c r="W1" s="129"/>
      <c r="X1" s="129"/>
    </row>
    <row r="2" spans="1:24" ht="15.75" customHeight="1">
      <c r="A2" s="128" t="s">
        <v>573</v>
      </c>
      <c r="B2" s="129"/>
      <c r="C2" s="292"/>
      <c r="D2" s="129"/>
      <c r="E2" s="129"/>
      <c r="F2" s="129"/>
      <c r="G2" s="129"/>
      <c r="H2" s="129"/>
      <c r="I2" s="207"/>
      <c r="J2" s="129"/>
      <c r="K2" s="129"/>
      <c r="L2" s="130"/>
      <c r="M2" s="129"/>
      <c r="N2" s="129"/>
      <c r="O2" s="129"/>
      <c r="P2" s="129"/>
      <c r="Q2" s="129"/>
      <c r="R2" s="129"/>
      <c r="S2" s="129"/>
      <c r="T2" s="129"/>
      <c r="U2" s="129"/>
      <c r="V2" s="129"/>
      <c r="W2" s="129"/>
      <c r="X2" s="129"/>
    </row>
    <row r="3" spans="1:24" ht="15.75" customHeight="1">
      <c r="A3" s="293"/>
      <c r="B3" s="294"/>
      <c r="C3" s="292"/>
      <c r="D3" s="129"/>
      <c r="E3" s="129"/>
      <c r="F3" s="129"/>
      <c r="G3" s="129"/>
      <c r="H3" s="129"/>
      <c r="I3" s="207"/>
      <c r="J3" s="129"/>
      <c r="K3" s="129"/>
      <c r="L3" s="130"/>
      <c r="M3" s="129"/>
      <c r="N3" s="129"/>
      <c r="O3" s="129"/>
      <c r="P3" s="129"/>
      <c r="Q3" s="129"/>
      <c r="R3" s="135"/>
      <c r="S3" s="135"/>
      <c r="T3" s="129"/>
      <c r="U3" s="129"/>
      <c r="V3" s="129"/>
      <c r="W3" s="129"/>
      <c r="X3" s="129"/>
    </row>
    <row r="4" spans="1:24" ht="37.5"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25.5" customHeight="1">
      <c r="A5" s="128"/>
      <c r="B5" s="128" t="s">
        <v>574</v>
      </c>
      <c r="C5" s="335">
        <v>23600</v>
      </c>
      <c r="D5" s="210">
        <v>7425.58</v>
      </c>
      <c r="E5" s="210"/>
      <c r="F5" s="210">
        <f>13000+2500+3500</f>
        <v>19000</v>
      </c>
      <c r="G5" s="210">
        <f t="shared" ref="G5:G6" si="0">F5-C5</f>
        <v>-4600</v>
      </c>
      <c r="H5" s="249"/>
      <c r="I5" s="560" t="s">
        <v>575</v>
      </c>
      <c r="J5" s="249"/>
      <c r="K5" s="214">
        <v>0</v>
      </c>
      <c r="L5" s="214">
        <v>1750</v>
      </c>
      <c r="M5" s="214">
        <v>1750</v>
      </c>
      <c r="N5" s="214">
        <v>0</v>
      </c>
      <c r="O5" s="214">
        <v>0</v>
      </c>
      <c r="P5" s="214">
        <v>0</v>
      </c>
      <c r="Q5" s="214">
        <f t="shared" ref="Q5:S5" si="1">13000/3</f>
        <v>4333.333333333333</v>
      </c>
      <c r="R5" s="214">
        <f t="shared" si="1"/>
        <v>4333.333333333333</v>
      </c>
      <c r="S5" s="214">
        <f t="shared" si="1"/>
        <v>4333.333333333333</v>
      </c>
      <c r="T5" s="214">
        <v>2500</v>
      </c>
      <c r="U5" s="214">
        <v>0</v>
      </c>
      <c r="V5" s="214">
        <v>0</v>
      </c>
      <c r="W5" s="301"/>
      <c r="X5" s="214">
        <f>SUM(K5:V5)</f>
        <v>19000</v>
      </c>
    </row>
    <row r="6" spans="1:24" ht="15.75" customHeight="1">
      <c r="A6" s="128" t="s">
        <v>153</v>
      </c>
      <c r="B6" s="128"/>
      <c r="C6" s="335">
        <f t="shared" ref="C6:F6" si="2">C5</f>
        <v>23600</v>
      </c>
      <c r="D6" s="190">
        <f t="shared" si="2"/>
        <v>7425.58</v>
      </c>
      <c r="E6" s="190">
        <f t="shared" si="2"/>
        <v>0</v>
      </c>
      <c r="F6" s="190">
        <f t="shared" si="2"/>
        <v>19000</v>
      </c>
      <c r="G6" s="425">
        <f t="shared" si="0"/>
        <v>-4600</v>
      </c>
      <c r="H6" s="192"/>
      <c r="I6" s="229"/>
      <c r="J6" s="192"/>
      <c r="K6" s="398">
        <f t="shared" ref="K6:V6" si="3">K5</f>
        <v>0</v>
      </c>
      <c r="L6" s="398">
        <f t="shared" si="3"/>
        <v>1750</v>
      </c>
      <c r="M6" s="398">
        <f t="shared" si="3"/>
        <v>1750</v>
      </c>
      <c r="N6" s="398">
        <f t="shared" si="3"/>
        <v>0</v>
      </c>
      <c r="O6" s="398">
        <f t="shared" si="3"/>
        <v>0</v>
      </c>
      <c r="P6" s="398">
        <f t="shared" si="3"/>
        <v>0</v>
      </c>
      <c r="Q6" s="398">
        <f t="shared" si="3"/>
        <v>4333.333333333333</v>
      </c>
      <c r="R6" s="398">
        <f t="shared" si="3"/>
        <v>4333.333333333333</v>
      </c>
      <c r="S6" s="398">
        <f t="shared" si="3"/>
        <v>4333.333333333333</v>
      </c>
      <c r="T6" s="398">
        <f t="shared" si="3"/>
        <v>2500</v>
      </c>
      <c r="U6" s="398">
        <f t="shared" si="3"/>
        <v>0</v>
      </c>
      <c r="V6" s="398">
        <f t="shared" si="3"/>
        <v>0</v>
      </c>
      <c r="W6" s="194"/>
      <c r="X6" s="398">
        <f>X5</f>
        <v>19000</v>
      </c>
    </row>
    <row r="7" spans="1:24" ht="15.75" customHeight="1">
      <c r="A7" s="128"/>
      <c r="B7" s="129"/>
      <c r="C7" s="292"/>
      <c r="D7" s="135"/>
      <c r="E7" s="135"/>
      <c r="F7" s="135"/>
      <c r="G7" s="135"/>
      <c r="H7" s="135"/>
      <c r="I7" s="399"/>
      <c r="J7" s="135"/>
      <c r="K7" s="135"/>
      <c r="L7" s="130"/>
      <c r="M7" s="135"/>
      <c r="N7" s="135"/>
      <c r="O7" s="135"/>
      <c r="P7" s="135"/>
      <c r="Q7" s="135"/>
      <c r="R7" s="135"/>
      <c r="S7" s="135"/>
      <c r="T7" s="135"/>
      <c r="U7" s="135"/>
      <c r="V7" s="135"/>
      <c r="W7" s="135"/>
      <c r="X7" s="135"/>
    </row>
    <row r="8" spans="1:24" ht="15.75" customHeight="1">
      <c r="A8" s="128" t="s">
        <v>154</v>
      </c>
      <c r="B8" s="129"/>
      <c r="C8" s="292"/>
      <c r="D8" s="295"/>
      <c r="E8" s="295"/>
      <c r="F8" s="295"/>
      <c r="G8" s="295"/>
      <c r="H8" s="295"/>
      <c r="I8" s="540"/>
      <c r="J8" s="295"/>
      <c r="K8" s="295"/>
      <c r="L8" s="454"/>
      <c r="M8" s="295"/>
      <c r="N8" s="295"/>
      <c r="O8" s="295"/>
      <c r="P8" s="295"/>
      <c r="Q8" s="295"/>
      <c r="R8" s="295"/>
      <c r="S8" s="295"/>
      <c r="T8" s="295"/>
      <c r="U8" s="295"/>
      <c r="V8" s="295"/>
      <c r="W8" s="295"/>
      <c r="X8" s="295"/>
    </row>
    <row r="9" spans="1:24" ht="15.75" customHeight="1">
      <c r="A9" s="128"/>
      <c r="B9" s="128" t="s">
        <v>205</v>
      </c>
      <c r="C9" s="490">
        <f t="shared" ref="C9:F9" si="4">SUM(C10:C12)</f>
        <v>37300</v>
      </c>
      <c r="D9" s="311">
        <f t="shared" si="4"/>
        <v>22718.809999999998</v>
      </c>
      <c r="E9" s="311">
        <f t="shared" si="4"/>
        <v>0</v>
      </c>
      <c r="F9" s="311">
        <f t="shared" si="4"/>
        <v>44000</v>
      </c>
      <c r="G9" s="311">
        <f t="shared" ref="G9:G19" si="5">F9-C9</f>
        <v>6700</v>
      </c>
      <c r="H9" s="219"/>
      <c r="I9" s="314"/>
      <c r="J9" s="219"/>
      <c r="K9" s="365">
        <f t="shared" ref="K9:V9" si="6">SUM(K10:K12)</f>
        <v>0</v>
      </c>
      <c r="L9" s="365">
        <f t="shared" si="6"/>
        <v>3200</v>
      </c>
      <c r="M9" s="365">
        <f t="shared" si="6"/>
        <v>7500</v>
      </c>
      <c r="N9" s="365">
        <f t="shared" si="6"/>
        <v>2500</v>
      </c>
      <c r="O9" s="365">
        <f t="shared" si="6"/>
        <v>4500</v>
      </c>
      <c r="P9" s="365">
        <f t="shared" si="6"/>
        <v>0</v>
      </c>
      <c r="Q9" s="365">
        <f t="shared" si="6"/>
        <v>2800</v>
      </c>
      <c r="R9" s="365">
        <f t="shared" si="6"/>
        <v>7500</v>
      </c>
      <c r="S9" s="365">
        <f t="shared" si="6"/>
        <v>2500</v>
      </c>
      <c r="T9" s="365">
        <f t="shared" si="6"/>
        <v>2500</v>
      </c>
      <c r="U9" s="365">
        <f t="shared" si="6"/>
        <v>11000</v>
      </c>
      <c r="V9" s="365">
        <f t="shared" si="6"/>
        <v>0</v>
      </c>
      <c r="W9" s="402"/>
      <c r="X9" s="365">
        <f>SUM(X10:X12)</f>
        <v>44000</v>
      </c>
    </row>
    <row r="10" spans="1:24" ht="15.75" customHeight="1">
      <c r="A10" s="129"/>
      <c r="B10" s="165" t="s">
        <v>142</v>
      </c>
      <c r="C10" s="155">
        <v>600</v>
      </c>
      <c r="D10" s="351">
        <v>800</v>
      </c>
      <c r="E10" s="351"/>
      <c r="F10" s="67">
        <v>1000</v>
      </c>
      <c r="G10" s="351">
        <f t="shared" si="5"/>
        <v>400</v>
      </c>
      <c r="H10" s="211"/>
      <c r="I10" s="316" t="s">
        <v>576</v>
      </c>
      <c r="J10" s="211"/>
      <c r="K10" s="362"/>
      <c r="L10" s="319">
        <v>700</v>
      </c>
      <c r="M10" s="382"/>
      <c r="N10" s="382"/>
      <c r="O10" s="382"/>
      <c r="P10" s="382"/>
      <c r="Q10" s="319">
        <v>300</v>
      </c>
      <c r="R10" s="382"/>
      <c r="S10" s="382"/>
      <c r="T10" s="382"/>
      <c r="U10" s="382"/>
      <c r="V10" s="382"/>
      <c r="W10" s="393"/>
      <c r="X10" s="212">
        <f t="shared" ref="X10:X12" si="7">SUM(K10:V10)</f>
        <v>1000</v>
      </c>
    </row>
    <row r="11" spans="1:24" ht="15.75" customHeight="1">
      <c r="A11" s="129"/>
      <c r="B11" s="165" t="s">
        <v>211</v>
      </c>
      <c r="C11" s="155">
        <v>25900</v>
      </c>
      <c r="D11" s="351">
        <v>15864.91</v>
      </c>
      <c r="E11" s="351"/>
      <c r="F11" s="67">
        <v>28000</v>
      </c>
      <c r="G11" s="351">
        <f t="shared" si="5"/>
        <v>2100</v>
      </c>
      <c r="H11" s="211"/>
      <c r="I11" s="316" t="s">
        <v>577</v>
      </c>
      <c r="J11" s="211"/>
      <c r="K11" s="362"/>
      <c r="L11" s="319">
        <v>2000</v>
      </c>
      <c r="M11" s="319">
        <v>2000</v>
      </c>
      <c r="N11" s="319">
        <v>2000</v>
      </c>
      <c r="O11" s="319">
        <v>4000</v>
      </c>
      <c r="P11" s="382"/>
      <c r="Q11" s="319">
        <v>2000</v>
      </c>
      <c r="R11" s="319">
        <v>2000</v>
      </c>
      <c r="S11" s="319">
        <v>2000</v>
      </c>
      <c r="T11" s="319">
        <v>2000</v>
      </c>
      <c r="U11" s="319">
        <v>10000</v>
      </c>
      <c r="V11" s="382"/>
      <c r="W11" s="393"/>
      <c r="X11" s="212">
        <f t="shared" si="7"/>
        <v>28000</v>
      </c>
    </row>
    <row r="12" spans="1:24" ht="15.75" customHeight="1">
      <c r="A12" s="129"/>
      <c r="B12" s="523" t="s">
        <v>578</v>
      </c>
      <c r="C12" s="155">
        <v>10800</v>
      </c>
      <c r="D12" s="351">
        <v>6053.9</v>
      </c>
      <c r="E12" s="351"/>
      <c r="F12" s="67">
        <v>15000</v>
      </c>
      <c r="G12" s="351">
        <f t="shared" si="5"/>
        <v>4200</v>
      </c>
      <c r="H12" s="211"/>
      <c r="I12" s="316" t="s">
        <v>579</v>
      </c>
      <c r="J12" s="211"/>
      <c r="K12" s="362"/>
      <c r="L12" s="319">
        <v>500</v>
      </c>
      <c r="M12" s="319">
        <v>5500</v>
      </c>
      <c r="N12" s="319">
        <v>500</v>
      </c>
      <c r="O12" s="319">
        <v>500</v>
      </c>
      <c r="P12" s="382"/>
      <c r="Q12" s="319">
        <v>500</v>
      </c>
      <c r="R12" s="319">
        <v>5500</v>
      </c>
      <c r="S12" s="319">
        <v>500</v>
      </c>
      <c r="T12" s="319">
        <v>500</v>
      </c>
      <c r="U12" s="319">
        <v>1000</v>
      </c>
      <c r="V12" s="382"/>
      <c r="W12" s="393"/>
      <c r="X12" s="212">
        <f t="shared" si="7"/>
        <v>15000</v>
      </c>
    </row>
    <row r="13" spans="1:24" ht="15.75" customHeight="1">
      <c r="A13" s="128"/>
      <c r="B13" s="523" t="s">
        <v>299</v>
      </c>
      <c r="C13" s="524">
        <f t="shared" ref="C13:F13" si="8">SUM(C14:C18)</f>
        <v>36200</v>
      </c>
      <c r="D13" s="311">
        <f t="shared" si="8"/>
        <v>17699.169999999998</v>
      </c>
      <c r="E13" s="311">
        <f t="shared" si="8"/>
        <v>0</v>
      </c>
      <c r="F13" s="311">
        <f t="shared" si="8"/>
        <v>26000</v>
      </c>
      <c r="G13" s="311">
        <f t="shared" si="5"/>
        <v>-10200</v>
      </c>
      <c r="H13" s="219"/>
      <c r="I13" s="364"/>
      <c r="J13" s="219"/>
      <c r="K13" s="225">
        <f t="shared" ref="K13:V13" si="9">SUM(K14:K18)</f>
        <v>3000</v>
      </c>
      <c r="L13" s="225">
        <f t="shared" si="9"/>
        <v>400</v>
      </c>
      <c r="M13" s="225">
        <f t="shared" si="9"/>
        <v>400</v>
      </c>
      <c r="N13" s="225">
        <f t="shared" si="9"/>
        <v>400</v>
      </c>
      <c r="O13" s="225">
        <f t="shared" si="9"/>
        <v>400</v>
      </c>
      <c r="P13" s="225">
        <f t="shared" si="9"/>
        <v>11400</v>
      </c>
      <c r="Q13" s="225">
        <f t="shared" si="9"/>
        <v>400</v>
      </c>
      <c r="R13" s="225">
        <f t="shared" si="9"/>
        <v>400</v>
      </c>
      <c r="S13" s="225">
        <f t="shared" si="9"/>
        <v>7400</v>
      </c>
      <c r="T13" s="225">
        <f t="shared" si="9"/>
        <v>1400</v>
      </c>
      <c r="U13" s="225">
        <f t="shared" si="9"/>
        <v>400</v>
      </c>
      <c r="V13" s="225">
        <f t="shared" si="9"/>
        <v>0</v>
      </c>
      <c r="W13" s="405"/>
      <c r="X13" s="225">
        <f>SUM(X14:X18)</f>
        <v>26000</v>
      </c>
    </row>
    <row r="14" spans="1:24" ht="15.75" customHeight="1">
      <c r="A14" s="129"/>
      <c r="B14" s="165" t="s">
        <v>580</v>
      </c>
      <c r="C14" s="155">
        <v>20500</v>
      </c>
      <c r="D14" s="473">
        <v>10978.7</v>
      </c>
      <c r="E14" s="473"/>
      <c r="F14" s="67">
        <v>22000</v>
      </c>
      <c r="G14" s="473">
        <f t="shared" si="5"/>
        <v>1500</v>
      </c>
      <c r="H14" s="211"/>
      <c r="I14" s="316" t="s">
        <v>581</v>
      </c>
      <c r="J14" s="211"/>
      <c r="K14" s="566">
        <v>3000</v>
      </c>
      <c r="L14" s="567"/>
      <c r="M14" s="567"/>
      <c r="N14" s="567"/>
      <c r="O14" s="567"/>
      <c r="P14" s="568">
        <v>11000</v>
      </c>
      <c r="Q14" s="567"/>
      <c r="R14" s="567"/>
      <c r="S14" s="568">
        <v>7000</v>
      </c>
      <c r="T14" s="568">
        <v>1000</v>
      </c>
      <c r="U14" s="567"/>
      <c r="V14" s="567"/>
      <c r="W14" s="393"/>
      <c r="X14" s="569">
        <f t="shared" ref="X14:X18" si="10">SUM(K14:V14)</f>
        <v>22000</v>
      </c>
    </row>
    <row r="15" spans="1:24" ht="15.75" customHeight="1">
      <c r="A15" s="129"/>
      <c r="B15" s="165" t="s">
        <v>582</v>
      </c>
      <c r="C15" s="155">
        <v>0</v>
      </c>
      <c r="D15" s="473">
        <v>6197.66</v>
      </c>
      <c r="E15" s="473"/>
      <c r="F15" s="67">
        <v>0</v>
      </c>
      <c r="G15" s="473">
        <f t="shared" si="5"/>
        <v>0</v>
      </c>
      <c r="H15" s="211"/>
      <c r="I15" s="364"/>
      <c r="J15" s="211"/>
      <c r="K15" s="570"/>
      <c r="L15" s="567"/>
      <c r="M15" s="567"/>
      <c r="N15" s="567"/>
      <c r="O15" s="567"/>
      <c r="P15" s="567"/>
      <c r="Q15" s="567"/>
      <c r="R15" s="567"/>
      <c r="S15" s="567"/>
      <c r="T15" s="567"/>
      <c r="U15" s="567"/>
      <c r="V15" s="567"/>
      <c r="W15" s="393"/>
      <c r="X15" s="569">
        <f t="shared" si="10"/>
        <v>0</v>
      </c>
    </row>
    <row r="16" spans="1:24" ht="15.75" customHeight="1">
      <c r="A16" s="129"/>
      <c r="B16" s="165" t="s">
        <v>275</v>
      </c>
      <c r="C16" s="155">
        <v>4700</v>
      </c>
      <c r="D16" s="473">
        <v>479.62</v>
      </c>
      <c r="E16" s="473"/>
      <c r="F16" s="67">
        <v>2000</v>
      </c>
      <c r="G16" s="473">
        <f t="shared" si="5"/>
        <v>-2700</v>
      </c>
      <c r="H16" s="211"/>
      <c r="I16" s="316" t="s">
        <v>583</v>
      </c>
      <c r="J16" s="211"/>
      <c r="K16" s="570"/>
      <c r="L16" s="568">
        <v>200</v>
      </c>
      <c r="M16" s="568">
        <v>200</v>
      </c>
      <c r="N16" s="568">
        <v>200</v>
      </c>
      <c r="O16" s="568">
        <v>200</v>
      </c>
      <c r="P16" s="568">
        <v>200</v>
      </c>
      <c r="Q16" s="568">
        <v>200</v>
      </c>
      <c r="R16" s="568">
        <v>200</v>
      </c>
      <c r="S16" s="568">
        <v>200</v>
      </c>
      <c r="T16" s="568">
        <v>200</v>
      </c>
      <c r="U16" s="568">
        <v>200</v>
      </c>
      <c r="V16" s="567"/>
      <c r="W16" s="393"/>
      <c r="X16" s="569">
        <f t="shared" si="10"/>
        <v>2000</v>
      </c>
    </row>
    <row r="17" spans="1:24" ht="39" customHeight="1">
      <c r="A17" s="129"/>
      <c r="B17" s="165" t="s">
        <v>269</v>
      </c>
      <c r="C17" s="155">
        <v>7000</v>
      </c>
      <c r="D17" s="473">
        <v>0</v>
      </c>
      <c r="E17" s="473"/>
      <c r="F17" s="67">
        <v>2000</v>
      </c>
      <c r="G17" s="473">
        <f t="shared" si="5"/>
        <v>-5000</v>
      </c>
      <c r="H17" s="211"/>
      <c r="I17" s="571" t="s">
        <v>584</v>
      </c>
      <c r="J17" s="211"/>
      <c r="K17" s="570"/>
      <c r="L17" s="568">
        <v>200</v>
      </c>
      <c r="M17" s="568">
        <v>200</v>
      </c>
      <c r="N17" s="568">
        <v>200</v>
      </c>
      <c r="O17" s="568">
        <v>200</v>
      </c>
      <c r="P17" s="568">
        <v>200</v>
      </c>
      <c r="Q17" s="568">
        <v>200</v>
      </c>
      <c r="R17" s="568">
        <v>200</v>
      </c>
      <c r="S17" s="568">
        <v>200</v>
      </c>
      <c r="T17" s="568">
        <v>200</v>
      </c>
      <c r="U17" s="568">
        <v>200</v>
      </c>
      <c r="V17" s="567"/>
      <c r="W17" s="393"/>
      <c r="X17" s="569">
        <f t="shared" si="10"/>
        <v>2000</v>
      </c>
    </row>
    <row r="18" spans="1:24" ht="15.75" customHeight="1">
      <c r="A18" s="129"/>
      <c r="B18" s="165" t="s">
        <v>270</v>
      </c>
      <c r="C18" s="155">
        <v>4000</v>
      </c>
      <c r="D18" s="473">
        <v>43.19</v>
      </c>
      <c r="E18" s="473"/>
      <c r="F18" s="572">
        <v>0</v>
      </c>
      <c r="G18" s="473">
        <f t="shared" si="5"/>
        <v>-4000</v>
      </c>
      <c r="H18" s="211"/>
      <c r="I18" s="390" t="s">
        <v>585</v>
      </c>
      <c r="J18" s="211"/>
      <c r="K18" s="573"/>
      <c r="L18" s="574"/>
      <c r="M18" s="574"/>
      <c r="N18" s="574"/>
      <c r="O18" s="574"/>
      <c r="P18" s="574"/>
      <c r="Q18" s="574"/>
      <c r="R18" s="574"/>
      <c r="S18" s="574"/>
      <c r="T18" s="574"/>
      <c r="U18" s="574"/>
      <c r="V18" s="574"/>
      <c r="W18" s="393"/>
      <c r="X18" s="569">
        <f t="shared" si="10"/>
        <v>0</v>
      </c>
    </row>
    <row r="19" spans="1:24" ht="15.75" customHeight="1">
      <c r="A19" s="128" t="s">
        <v>549</v>
      </c>
      <c r="B19" s="128"/>
      <c r="C19" s="384">
        <f t="shared" ref="C19:F19" si="11">C9+C13</f>
        <v>73500</v>
      </c>
      <c r="D19" s="514">
        <f t="shared" si="11"/>
        <v>40417.979999999996</v>
      </c>
      <c r="E19" s="514">
        <f t="shared" si="11"/>
        <v>0</v>
      </c>
      <c r="F19" s="514">
        <f t="shared" si="11"/>
        <v>70000</v>
      </c>
      <c r="G19" s="515">
        <f t="shared" si="5"/>
        <v>-3500</v>
      </c>
      <c r="H19" s="516"/>
      <c r="I19" s="378"/>
      <c r="J19" s="516"/>
      <c r="K19" s="517">
        <f t="shared" ref="K19:V19" si="12">K9+K13</f>
        <v>3000</v>
      </c>
      <c r="L19" s="575">
        <f t="shared" si="12"/>
        <v>3600</v>
      </c>
      <c r="M19" s="517">
        <f t="shared" si="12"/>
        <v>7900</v>
      </c>
      <c r="N19" s="517">
        <f t="shared" si="12"/>
        <v>2900</v>
      </c>
      <c r="O19" s="517">
        <f t="shared" si="12"/>
        <v>4900</v>
      </c>
      <c r="P19" s="517">
        <f t="shared" si="12"/>
        <v>11400</v>
      </c>
      <c r="Q19" s="517">
        <f t="shared" si="12"/>
        <v>3200</v>
      </c>
      <c r="R19" s="517">
        <f t="shared" si="12"/>
        <v>7900</v>
      </c>
      <c r="S19" s="517">
        <f t="shared" si="12"/>
        <v>9900</v>
      </c>
      <c r="T19" s="517">
        <f t="shared" si="12"/>
        <v>3900</v>
      </c>
      <c r="U19" s="517">
        <f t="shared" si="12"/>
        <v>11400</v>
      </c>
      <c r="V19" s="517">
        <f t="shared" si="12"/>
        <v>0</v>
      </c>
      <c r="W19" s="518"/>
      <c r="X19" s="517">
        <f>X9+X13</f>
        <v>70000</v>
      </c>
    </row>
    <row r="20" spans="1:24" ht="15.75" customHeight="1">
      <c r="A20" s="129"/>
      <c r="B20" s="129"/>
      <c r="C20" s="292"/>
      <c r="D20" s="196"/>
      <c r="E20" s="196"/>
      <c r="F20" s="196"/>
      <c r="G20" s="196"/>
      <c r="H20" s="196"/>
      <c r="I20" s="419"/>
      <c r="J20" s="196"/>
      <c r="K20" s="196"/>
      <c r="L20" s="420"/>
      <c r="M20" s="196"/>
      <c r="N20" s="196"/>
      <c r="O20" s="196"/>
      <c r="P20" s="196"/>
      <c r="Q20" s="196"/>
      <c r="R20" s="196"/>
      <c r="S20" s="196"/>
      <c r="T20" s="196"/>
      <c r="U20" s="196"/>
      <c r="V20" s="196"/>
      <c r="W20" s="196"/>
      <c r="X20" s="196"/>
    </row>
    <row r="21" spans="1:24" ht="15.75" hidden="1" customHeight="1">
      <c r="A21" s="276" t="s">
        <v>291</v>
      </c>
      <c r="B21" s="129"/>
      <c r="C21" s="292"/>
      <c r="D21" s="277"/>
      <c r="E21" s="277"/>
      <c r="F21" s="277"/>
      <c r="G21" s="277"/>
      <c r="H21" s="277"/>
      <c r="I21" s="210"/>
      <c r="J21" s="277"/>
      <c r="K21" s="278">
        <f>K6-K19</f>
        <v>-3000</v>
      </c>
      <c r="L21" s="278"/>
      <c r="M21" s="278">
        <f>M6-M19</f>
        <v>-6150</v>
      </c>
      <c r="N21" s="278"/>
      <c r="O21" s="278">
        <f>O6-O19</f>
        <v>-4900</v>
      </c>
      <c r="P21" s="278"/>
      <c r="Q21" s="278">
        <f>Q6-Q19</f>
        <v>1133.333333333333</v>
      </c>
      <c r="R21" s="278"/>
      <c r="S21" s="278">
        <f>S6-S19</f>
        <v>-5566.666666666667</v>
      </c>
      <c r="T21" s="278"/>
      <c r="U21" s="278">
        <f>U6-U19</f>
        <v>-11400</v>
      </c>
      <c r="V21" s="278"/>
      <c r="W21" s="278">
        <f t="shared" ref="W21:X21" si="13">W6-W19</f>
        <v>0</v>
      </c>
      <c r="X21" s="278">
        <f t="shared" si="13"/>
        <v>-51000</v>
      </c>
    </row>
    <row r="22" spans="1:24" ht="15.75" hidden="1" customHeight="1">
      <c r="A22" s="128"/>
      <c r="B22" s="129"/>
      <c r="C22" s="292"/>
      <c r="D22" s="129"/>
      <c r="E22" s="129"/>
      <c r="F22" s="129"/>
      <c r="G22" s="129"/>
      <c r="H22" s="129"/>
      <c r="I22" s="207"/>
      <c r="J22" s="129"/>
      <c r="K22" s="129"/>
      <c r="L22" s="130"/>
      <c r="M22" s="129"/>
      <c r="N22" s="129"/>
      <c r="O22" s="129"/>
      <c r="P22" s="129"/>
      <c r="Q22" s="129"/>
      <c r="R22" s="129"/>
      <c r="S22" s="129"/>
      <c r="T22" s="129"/>
      <c r="U22" s="129"/>
      <c r="V22" s="129"/>
      <c r="W22" s="129"/>
      <c r="X22" s="129"/>
    </row>
    <row r="23" spans="1:24" ht="15.75" hidden="1" customHeight="1">
      <c r="C23" s="328"/>
      <c r="D23" s="289"/>
      <c r="E23" s="289"/>
      <c r="F23" s="289"/>
      <c r="G23" s="289"/>
      <c r="H23" s="289"/>
      <c r="I23" s="289"/>
      <c r="J23" s="289"/>
      <c r="K23" s="289"/>
      <c r="L23" s="422"/>
      <c r="M23" s="289"/>
      <c r="N23" s="289"/>
      <c r="O23" s="289"/>
      <c r="P23" s="289"/>
      <c r="Q23" s="289"/>
      <c r="R23" s="289"/>
      <c r="S23" s="289"/>
      <c r="T23" s="289"/>
      <c r="U23" s="289"/>
      <c r="V23" s="289"/>
      <c r="W23" s="289"/>
      <c r="X23" s="289"/>
    </row>
    <row r="24" spans="1:24" ht="15.75" hidden="1" customHeight="1">
      <c r="C24" s="328"/>
      <c r="D24" s="289"/>
      <c r="E24" s="289"/>
      <c r="F24" s="289"/>
      <c r="G24" s="289"/>
      <c r="H24" s="289"/>
      <c r="I24" s="289"/>
      <c r="J24" s="289"/>
      <c r="K24" s="289"/>
      <c r="L24" s="422"/>
      <c r="M24" s="289"/>
      <c r="N24" s="289"/>
      <c r="O24" s="289"/>
      <c r="P24" s="289"/>
      <c r="Q24" s="289"/>
      <c r="R24" s="289"/>
      <c r="S24" s="289"/>
      <c r="T24" s="289"/>
      <c r="U24" s="289"/>
      <c r="V24" s="289"/>
      <c r="W24" s="289"/>
      <c r="X24" s="289"/>
    </row>
    <row r="25" spans="1:24" ht="15.75" hidden="1" customHeight="1">
      <c r="C25" s="328"/>
      <c r="D25" s="289"/>
      <c r="E25" s="289"/>
      <c r="F25" s="289"/>
      <c r="G25" s="289"/>
      <c r="H25" s="289"/>
      <c r="I25" s="289"/>
      <c r="J25" s="289"/>
      <c r="K25" s="289"/>
      <c r="L25" s="422"/>
      <c r="M25" s="289"/>
      <c r="N25" s="289"/>
      <c r="O25" s="289"/>
      <c r="P25" s="289"/>
      <c r="Q25" s="289"/>
      <c r="R25" s="289"/>
      <c r="S25" s="289"/>
      <c r="T25" s="289"/>
      <c r="U25" s="289"/>
      <c r="V25" s="289"/>
      <c r="W25" s="289"/>
      <c r="X25" s="289"/>
    </row>
    <row r="26" spans="1:24" ht="15.75" hidden="1" customHeight="1">
      <c r="C26" s="328"/>
      <c r="D26" s="289"/>
      <c r="E26" s="289"/>
      <c r="F26" s="289"/>
      <c r="G26" s="289"/>
      <c r="H26" s="289"/>
      <c r="I26" s="289"/>
      <c r="J26" s="289"/>
      <c r="K26" s="289"/>
      <c r="L26" s="422"/>
      <c r="M26" s="289"/>
      <c r="N26" s="289"/>
      <c r="O26" s="289"/>
      <c r="P26" s="289"/>
      <c r="Q26" s="289"/>
      <c r="R26" s="289"/>
      <c r="S26" s="289"/>
      <c r="T26" s="289"/>
      <c r="U26" s="289"/>
      <c r="V26" s="289"/>
      <c r="W26" s="289"/>
      <c r="X26" s="289"/>
    </row>
    <row r="27" spans="1:24" ht="15.75" hidden="1" customHeight="1">
      <c r="C27" s="328"/>
      <c r="D27" s="289"/>
      <c r="E27" s="289"/>
      <c r="F27" s="289"/>
      <c r="G27" s="289"/>
      <c r="H27" s="289"/>
      <c r="I27" s="289"/>
      <c r="J27" s="289"/>
      <c r="K27" s="289"/>
      <c r="L27" s="422"/>
      <c r="M27" s="289"/>
      <c r="N27" s="289"/>
      <c r="O27" s="289"/>
      <c r="P27" s="289"/>
      <c r="Q27" s="289"/>
      <c r="R27" s="289"/>
      <c r="S27" s="289"/>
      <c r="T27" s="289"/>
      <c r="U27" s="289"/>
      <c r="V27" s="289"/>
      <c r="W27" s="289"/>
      <c r="X27" s="289"/>
    </row>
    <row r="28" spans="1:24" ht="15.75" hidden="1" customHeight="1">
      <c r="C28" s="328"/>
      <c r="D28" s="289"/>
      <c r="E28" s="289"/>
      <c r="F28" s="289"/>
      <c r="G28" s="289"/>
      <c r="H28" s="289"/>
      <c r="I28" s="289"/>
      <c r="J28" s="289"/>
      <c r="K28" s="289"/>
      <c r="L28" s="422"/>
      <c r="M28" s="289"/>
      <c r="N28" s="289"/>
      <c r="O28" s="289"/>
      <c r="P28" s="289"/>
      <c r="Q28" s="289"/>
      <c r="R28" s="289"/>
      <c r="S28" s="289"/>
      <c r="T28" s="289"/>
      <c r="U28" s="289"/>
      <c r="V28" s="289"/>
      <c r="W28" s="289"/>
      <c r="X28" s="289"/>
    </row>
    <row r="29" spans="1:24" ht="15.75" hidden="1" customHeight="1">
      <c r="C29" s="328"/>
      <c r="D29" s="289"/>
      <c r="E29" s="289"/>
      <c r="F29" s="289"/>
      <c r="G29" s="289"/>
      <c r="H29" s="289"/>
      <c r="I29" s="289"/>
      <c r="J29" s="289"/>
      <c r="K29" s="289"/>
      <c r="L29" s="422"/>
      <c r="M29" s="289"/>
      <c r="N29" s="289"/>
      <c r="O29" s="289"/>
      <c r="P29" s="289"/>
      <c r="Q29" s="289"/>
      <c r="R29" s="289"/>
      <c r="S29" s="289"/>
      <c r="T29" s="289"/>
      <c r="U29" s="289"/>
      <c r="V29" s="289"/>
      <c r="W29" s="289"/>
      <c r="X29" s="289"/>
    </row>
    <row r="30" spans="1:24" ht="15.75" hidden="1" customHeight="1">
      <c r="C30" s="328"/>
      <c r="D30" s="289"/>
      <c r="E30" s="289"/>
      <c r="F30" s="289"/>
      <c r="G30" s="289"/>
      <c r="H30" s="289"/>
      <c r="I30" s="289"/>
      <c r="J30" s="289"/>
      <c r="K30" s="289"/>
      <c r="L30" s="422"/>
      <c r="M30" s="289"/>
      <c r="N30" s="289"/>
      <c r="O30" s="289"/>
      <c r="P30" s="289"/>
      <c r="Q30" s="289"/>
      <c r="R30" s="289"/>
      <c r="S30" s="289"/>
      <c r="T30" s="289"/>
      <c r="U30" s="289"/>
      <c r="V30" s="289"/>
      <c r="W30" s="289"/>
      <c r="X30" s="289"/>
    </row>
    <row r="31" spans="1:24" ht="15.75" customHeight="1">
      <c r="C31" s="328"/>
      <c r="D31" s="289"/>
      <c r="E31" s="289"/>
      <c r="F31" s="289"/>
      <c r="G31" s="289"/>
      <c r="H31" s="289"/>
      <c r="I31" s="289"/>
      <c r="J31" s="289"/>
      <c r="K31" s="289"/>
      <c r="L31" s="422"/>
      <c r="M31" s="289"/>
      <c r="N31" s="289"/>
      <c r="O31" s="289"/>
      <c r="P31" s="289"/>
      <c r="Q31" s="289"/>
      <c r="R31" s="289"/>
      <c r="S31" s="289"/>
      <c r="T31" s="289"/>
      <c r="U31" s="289"/>
      <c r="V31" s="289"/>
      <c r="W31" s="289"/>
      <c r="X31" s="289"/>
    </row>
    <row r="32" spans="1:24" ht="15.75" customHeight="1">
      <c r="C32" s="328"/>
      <c r="D32" s="289"/>
      <c r="E32" s="289"/>
      <c r="F32" s="289"/>
      <c r="G32" s="289"/>
      <c r="H32" s="289"/>
      <c r="I32" s="289"/>
      <c r="J32" s="289"/>
      <c r="K32" s="289"/>
      <c r="L32" s="422"/>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422"/>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422"/>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422"/>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422"/>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422"/>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422"/>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422"/>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422"/>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422"/>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422"/>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422"/>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422"/>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422"/>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422"/>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422"/>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422"/>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422"/>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422"/>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422"/>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422"/>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422"/>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422"/>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422"/>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422"/>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422"/>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422"/>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422"/>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422"/>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422"/>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422"/>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422"/>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422"/>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422"/>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422"/>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422"/>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422"/>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422"/>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422"/>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422"/>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422"/>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422"/>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422"/>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422"/>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422"/>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422"/>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422"/>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422"/>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422"/>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422"/>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422"/>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422"/>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422"/>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422"/>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422"/>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422"/>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422"/>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422"/>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422"/>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422"/>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422"/>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422"/>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422"/>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422"/>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422"/>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422"/>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422"/>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422"/>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422"/>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422"/>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422"/>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422"/>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422"/>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422"/>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422"/>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422"/>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422"/>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422"/>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422"/>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422"/>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422"/>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422"/>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422"/>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422"/>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422"/>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422"/>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422"/>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422"/>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422"/>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422"/>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422"/>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422"/>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422"/>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422"/>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422"/>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422"/>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422"/>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422"/>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422"/>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422"/>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422"/>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422"/>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422"/>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422"/>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422"/>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422"/>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422"/>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422"/>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422"/>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422"/>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422"/>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422"/>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422"/>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422"/>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422"/>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422"/>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422"/>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422"/>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422"/>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422"/>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422"/>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422"/>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422"/>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422"/>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422"/>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422"/>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422"/>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422"/>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422"/>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422"/>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422"/>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422"/>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422"/>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422"/>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422"/>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422"/>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422"/>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422"/>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422"/>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422"/>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422"/>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422"/>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422"/>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422"/>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422"/>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422"/>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422"/>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422"/>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422"/>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422"/>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422"/>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422"/>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422"/>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422"/>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422"/>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422"/>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422"/>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422"/>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422"/>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422"/>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422"/>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422"/>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422"/>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422"/>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422"/>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422"/>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422"/>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422"/>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422"/>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422"/>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422"/>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422"/>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422"/>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422"/>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422"/>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422"/>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422"/>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422"/>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422"/>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422"/>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422"/>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422"/>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422"/>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422"/>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422"/>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422"/>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422"/>
      <c r="M218" s="289"/>
      <c r="N218" s="289"/>
      <c r="O218" s="289"/>
      <c r="P218" s="289"/>
      <c r="Q218" s="289"/>
      <c r="R218" s="289"/>
      <c r="S218" s="289"/>
      <c r="T218" s="289"/>
      <c r="U218" s="289"/>
      <c r="V218" s="289"/>
      <c r="W218" s="289"/>
      <c r="X218" s="289"/>
    </row>
    <row r="219" spans="3:24" ht="15.75" customHeight="1">
      <c r="C219" s="328"/>
      <c r="D219" s="289"/>
      <c r="E219" s="289"/>
      <c r="F219" s="289"/>
      <c r="G219" s="289"/>
      <c r="H219" s="289"/>
      <c r="I219" s="289"/>
      <c r="J219" s="289"/>
      <c r="K219" s="289"/>
      <c r="L219" s="422"/>
      <c r="M219" s="289"/>
      <c r="N219" s="289"/>
      <c r="O219" s="289"/>
      <c r="P219" s="289"/>
      <c r="Q219" s="289"/>
      <c r="R219" s="289"/>
      <c r="S219" s="289"/>
      <c r="T219" s="289"/>
      <c r="U219" s="289"/>
      <c r="V219" s="289"/>
      <c r="W219" s="289"/>
      <c r="X219" s="289"/>
    </row>
    <row r="220" spans="3:24" ht="15.75" customHeight="1">
      <c r="C220" s="328"/>
      <c r="D220" s="289"/>
      <c r="E220" s="289"/>
      <c r="F220" s="289"/>
      <c r="G220" s="289"/>
      <c r="H220" s="289"/>
      <c r="I220" s="289"/>
      <c r="J220" s="289"/>
      <c r="K220" s="289"/>
      <c r="L220" s="422"/>
      <c r="M220" s="289"/>
      <c r="N220" s="289"/>
      <c r="O220" s="289"/>
      <c r="P220" s="289"/>
      <c r="Q220" s="289"/>
      <c r="R220" s="289"/>
      <c r="S220" s="289"/>
      <c r="T220" s="289"/>
      <c r="U220" s="289"/>
      <c r="V220" s="289"/>
      <c r="W220" s="289"/>
      <c r="X220" s="289"/>
    </row>
    <row r="221" spans="3:24" ht="15.75" customHeight="1">
      <c r="C221" s="328"/>
      <c r="D221" s="289"/>
      <c r="E221" s="289"/>
      <c r="F221" s="289"/>
      <c r="G221" s="289"/>
      <c r="H221" s="289"/>
      <c r="I221" s="289"/>
      <c r="J221" s="289"/>
      <c r="K221" s="289"/>
      <c r="L221" s="422"/>
      <c r="M221" s="289"/>
      <c r="N221" s="289"/>
      <c r="O221" s="289"/>
      <c r="P221" s="289"/>
      <c r="Q221" s="289"/>
      <c r="R221" s="289"/>
      <c r="S221" s="289"/>
      <c r="T221" s="289"/>
      <c r="U221" s="289"/>
      <c r="V221" s="289"/>
      <c r="W221" s="289"/>
      <c r="X221" s="289"/>
    </row>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legacy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X999"/>
  <sheetViews>
    <sheetView workbookViewId="0"/>
  </sheetViews>
  <sheetFormatPr defaultColWidth="12.5703125" defaultRowHeight="15" customHeight="1"/>
  <cols>
    <col min="1" max="1" width="4" customWidth="1"/>
    <col min="2" max="2" width="27.85546875" customWidth="1"/>
    <col min="3" max="3" width="10" customWidth="1"/>
    <col min="4" max="4" width="14.85546875" customWidth="1"/>
    <col min="5" max="5" width="12" customWidth="1"/>
    <col min="6" max="6" width="10.42578125" customWidth="1"/>
    <col min="7" max="7" width="14.28515625" customWidth="1"/>
    <col min="8" max="8" width="1.7109375" customWidth="1"/>
    <col min="9" max="9" width="58.42578125" customWidth="1"/>
    <col min="10" max="10" width="1.425781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2.140625" customWidth="1"/>
    <col min="24" max="24" width="11.42578125" customWidth="1"/>
  </cols>
  <sheetData>
    <row r="1" spans="1:24" ht="15.75" customHeight="1">
      <c r="A1" s="128" t="s">
        <v>122</v>
      </c>
      <c r="B1" s="129"/>
      <c r="C1" s="292"/>
      <c r="D1" s="129"/>
      <c r="E1" s="129"/>
      <c r="F1" s="129"/>
      <c r="G1" s="129"/>
      <c r="H1" s="129"/>
      <c r="I1" s="207"/>
      <c r="J1" s="129"/>
      <c r="K1" s="129"/>
      <c r="L1" s="130"/>
      <c r="M1" s="130"/>
      <c r="N1" s="129"/>
      <c r="O1" s="129"/>
      <c r="P1" s="129"/>
      <c r="Q1" s="129"/>
      <c r="R1" s="129"/>
      <c r="S1" s="129"/>
      <c r="T1" s="129"/>
      <c r="U1" s="129"/>
      <c r="V1" s="129"/>
      <c r="W1" s="129"/>
      <c r="X1" s="129"/>
    </row>
    <row r="2" spans="1:24" ht="15.75" customHeight="1">
      <c r="A2" s="128" t="s">
        <v>586</v>
      </c>
      <c r="B2" s="129"/>
      <c r="C2" s="292"/>
      <c r="D2" s="129"/>
      <c r="E2" s="129"/>
      <c r="F2" s="129"/>
      <c r="G2" s="129"/>
      <c r="H2" s="129"/>
      <c r="I2" s="207"/>
      <c r="J2" s="129"/>
      <c r="K2" s="129"/>
      <c r="L2" s="129"/>
      <c r="M2" s="129"/>
      <c r="N2" s="129"/>
      <c r="O2" s="129"/>
      <c r="P2" s="129"/>
      <c r="Q2" s="129"/>
      <c r="R2" s="129"/>
      <c r="S2" s="129"/>
      <c r="T2" s="129"/>
      <c r="U2" s="129"/>
      <c r="V2" s="129"/>
      <c r="W2" s="129"/>
      <c r="X2" s="129"/>
    </row>
    <row r="3" spans="1:24" ht="15.75" customHeight="1">
      <c r="A3" s="293"/>
      <c r="B3" s="294"/>
      <c r="C3" s="292"/>
      <c r="D3" s="129"/>
      <c r="E3" s="129"/>
      <c r="F3" s="129"/>
      <c r="G3" s="129"/>
      <c r="H3" s="129"/>
      <c r="I3" s="207"/>
      <c r="J3" s="129"/>
      <c r="K3" s="129"/>
      <c r="L3" s="129"/>
      <c r="M3" s="129"/>
      <c r="N3" s="129"/>
      <c r="O3" s="129"/>
      <c r="P3" s="129"/>
      <c r="Q3" s="129"/>
      <c r="R3" s="135"/>
      <c r="S3" s="135"/>
      <c r="T3" s="129"/>
      <c r="U3" s="129"/>
      <c r="V3" s="129"/>
      <c r="W3" s="129"/>
      <c r="X3" s="129"/>
    </row>
    <row r="4" spans="1:24" ht="39"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207"/>
      <c r="B5" s="129" t="s">
        <v>587</v>
      </c>
      <c r="C5" s="292">
        <v>0</v>
      </c>
      <c r="D5" s="210">
        <v>685</v>
      </c>
      <c r="E5" s="210"/>
      <c r="F5" s="210">
        <v>1000</v>
      </c>
      <c r="G5" s="210"/>
      <c r="H5" s="210"/>
      <c r="I5" s="210"/>
      <c r="J5" s="210"/>
      <c r="K5" s="576">
        <v>0</v>
      </c>
      <c r="L5" s="576">
        <v>0</v>
      </c>
      <c r="M5" s="576">
        <v>0</v>
      </c>
      <c r="N5" s="576">
        <v>0</v>
      </c>
      <c r="O5" s="576">
        <v>0</v>
      </c>
      <c r="P5" s="576">
        <v>500</v>
      </c>
      <c r="Q5" s="576">
        <v>0</v>
      </c>
      <c r="R5" s="576">
        <v>0</v>
      </c>
      <c r="S5" s="576">
        <v>0</v>
      </c>
      <c r="T5" s="576">
        <v>500</v>
      </c>
      <c r="U5" s="576">
        <v>0</v>
      </c>
      <c r="V5" s="576">
        <v>0</v>
      </c>
      <c r="W5" s="576"/>
      <c r="X5" s="576">
        <f>SUM(K5:V5)</f>
        <v>1000</v>
      </c>
    </row>
    <row r="6" spans="1:24" ht="15.75" customHeight="1">
      <c r="A6" s="128" t="s">
        <v>153</v>
      </c>
      <c r="B6" s="128"/>
      <c r="C6" s="335">
        <v>0</v>
      </c>
      <c r="D6" s="190">
        <f t="shared" ref="D6:G6" si="0">D5</f>
        <v>685</v>
      </c>
      <c r="E6" s="190">
        <f t="shared" si="0"/>
        <v>0</v>
      </c>
      <c r="F6" s="190">
        <f t="shared" si="0"/>
        <v>1000</v>
      </c>
      <c r="G6" s="190">
        <f t="shared" si="0"/>
        <v>0</v>
      </c>
      <c r="H6" s="337"/>
      <c r="I6" s="488"/>
      <c r="J6" s="337"/>
      <c r="K6" s="339">
        <f t="shared" ref="K6:V6" si="1">K5</f>
        <v>0</v>
      </c>
      <c r="L6" s="339">
        <f t="shared" si="1"/>
        <v>0</v>
      </c>
      <c r="M6" s="339">
        <f t="shared" si="1"/>
        <v>0</v>
      </c>
      <c r="N6" s="339">
        <f t="shared" si="1"/>
        <v>0</v>
      </c>
      <c r="O6" s="339">
        <f t="shared" si="1"/>
        <v>0</v>
      </c>
      <c r="P6" s="339">
        <f t="shared" si="1"/>
        <v>500</v>
      </c>
      <c r="Q6" s="339">
        <f t="shared" si="1"/>
        <v>0</v>
      </c>
      <c r="R6" s="339">
        <f t="shared" si="1"/>
        <v>0</v>
      </c>
      <c r="S6" s="339">
        <f t="shared" si="1"/>
        <v>0</v>
      </c>
      <c r="T6" s="339">
        <f t="shared" si="1"/>
        <v>500</v>
      </c>
      <c r="U6" s="339">
        <f t="shared" si="1"/>
        <v>0</v>
      </c>
      <c r="V6" s="339">
        <f t="shared" si="1"/>
        <v>0</v>
      </c>
      <c r="W6" s="389"/>
      <c r="X6" s="339">
        <f>X5</f>
        <v>1000</v>
      </c>
    </row>
    <row r="7" spans="1:24" ht="15.75" customHeight="1">
      <c r="A7" s="128"/>
      <c r="B7" s="129"/>
      <c r="C7" s="292"/>
      <c r="D7" s="135"/>
      <c r="E7" s="135"/>
      <c r="F7" s="135"/>
      <c r="G7" s="135"/>
      <c r="H7" s="135"/>
      <c r="I7" s="399"/>
      <c r="J7" s="135"/>
      <c r="K7" s="135"/>
      <c r="L7" s="135"/>
      <c r="M7" s="135"/>
      <c r="N7" s="135"/>
      <c r="O7" s="135"/>
      <c r="P7" s="135"/>
      <c r="Q7" s="135"/>
      <c r="R7" s="135"/>
      <c r="S7" s="135"/>
      <c r="T7" s="135"/>
      <c r="U7" s="135"/>
      <c r="V7" s="135"/>
      <c r="W7" s="135"/>
      <c r="X7" s="135"/>
    </row>
    <row r="8" spans="1:24" ht="15.75" customHeight="1">
      <c r="A8" s="128" t="s">
        <v>154</v>
      </c>
      <c r="B8" s="129"/>
      <c r="C8" s="292"/>
      <c r="D8" s="295"/>
      <c r="E8" s="295"/>
      <c r="F8" s="295"/>
      <c r="G8" s="295"/>
      <c r="H8" s="295"/>
      <c r="I8" s="540"/>
      <c r="J8" s="295"/>
      <c r="K8" s="295"/>
      <c r="L8" s="295"/>
      <c r="M8" s="295"/>
      <c r="N8" s="295"/>
      <c r="O8" s="295"/>
      <c r="P8" s="295"/>
      <c r="Q8" s="295"/>
      <c r="R8" s="295"/>
      <c r="S8" s="295"/>
      <c r="T8" s="295"/>
      <c r="U8" s="295"/>
      <c r="V8" s="295"/>
      <c r="W8" s="295"/>
      <c r="X8" s="295"/>
    </row>
    <row r="9" spans="1:24" ht="15.75" customHeight="1">
      <c r="A9" s="128"/>
      <c r="B9" s="129" t="s">
        <v>55</v>
      </c>
      <c r="C9" s="577">
        <v>2000</v>
      </c>
      <c r="D9" s="67">
        <v>2390.9000000000005</v>
      </c>
      <c r="E9" s="67"/>
      <c r="F9" s="67">
        <v>2000</v>
      </c>
      <c r="G9" s="67">
        <f t="shared" ref="G9:G11" si="2">F9-C9</f>
        <v>0</v>
      </c>
      <c r="H9" s="317"/>
      <c r="I9" s="67"/>
      <c r="J9" s="317"/>
      <c r="K9" s="349">
        <v>1000</v>
      </c>
      <c r="L9" s="554">
        <v>100</v>
      </c>
      <c r="M9" s="554">
        <v>100</v>
      </c>
      <c r="N9" s="554">
        <v>100</v>
      </c>
      <c r="O9" s="554">
        <v>100</v>
      </c>
      <c r="P9" s="554">
        <v>100</v>
      </c>
      <c r="Q9" s="554">
        <v>100</v>
      </c>
      <c r="R9" s="554">
        <v>100</v>
      </c>
      <c r="S9" s="554">
        <v>100</v>
      </c>
      <c r="T9" s="554">
        <v>100</v>
      </c>
      <c r="U9" s="554">
        <v>100</v>
      </c>
      <c r="V9" s="442">
        <v>0</v>
      </c>
      <c r="W9" s="426"/>
      <c r="X9" s="349">
        <f t="shared" ref="X9:X10" si="3">SUM(K9:V9)</f>
        <v>2000</v>
      </c>
    </row>
    <row r="10" spans="1:24" ht="26.25" customHeight="1">
      <c r="A10" s="128"/>
      <c r="B10" s="129" t="s">
        <v>588</v>
      </c>
      <c r="C10" s="577">
        <v>6500</v>
      </c>
      <c r="D10" s="67">
        <v>3211.84</v>
      </c>
      <c r="E10" s="67"/>
      <c r="F10" s="67">
        <v>8000</v>
      </c>
      <c r="G10" s="67">
        <f t="shared" si="2"/>
        <v>1500</v>
      </c>
      <c r="H10" s="317"/>
      <c r="I10" s="357" t="s">
        <v>589</v>
      </c>
      <c r="J10" s="317"/>
      <c r="K10" s="318">
        <v>3500</v>
      </c>
      <c r="L10" s="382">
        <v>0</v>
      </c>
      <c r="M10" s="382">
        <v>0</v>
      </c>
      <c r="N10" s="382">
        <v>0</v>
      </c>
      <c r="O10" s="382">
        <v>0</v>
      </c>
      <c r="P10" s="319">
        <v>2000</v>
      </c>
      <c r="Q10" s="382">
        <v>0</v>
      </c>
      <c r="R10" s="382">
        <v>0</v>
      </c>
      <c r="S10" s="319">
        <v>2500</v>
      </c>
      <c r="T10" s="382">
        <v>0</v>
      </c>
      <c r="U10" s="382">
        <v>0</v>
      </c>
      <c r="V10" s="382">
        <v>0</v>
      </c>
      <c r="W10" s="468"/>
      <c r="X10" s="318">
        <f t="shared" si="3"/>
        <v>8000</v>
      </c>
    </row>
    <row r="11" spans="1:24" ht="15.75" customHeight="1">
      <c r="A11" s="128" t="s">
        <v>590</v>
      </c>
      <c r="B11" s="128"/>
      <c r="C11" s="384">
        <f t="shared" ref="C11:F11" si="4">SUM(C9:C10)</f>
        <v>8500</v>
      </c>
      <c r="D11" s="514">
        <f t="shared" si="4"/>
        <v>5602.7400000000007</v>
      </c>
      <c r="E11" s="514">
        <f t="shared" si="4"/>
        <v>0</v>
      </c>
      <c r="F11" s="514">
        <f t="shared" si="4"/>
        <v>10000</v>
      </c>
      <c r="G11" s="515">
        <f t="shared" si="2"/>
        <v>1500</v>
      </c>
      <c r="H11" s="516"/>
      <c r="I11" s="378"/>
      <c r="J11" s="516"/>
      <c r="K11" s="551">
        <f t="shared" ref="K11:V11" si="5">SUM(K9:K10)</f>
        <v>4500</v>
      </c>
      <c r="L11" s="551">
        <f t="shared" si="5"/>
        <v>100</v>
      </c>
      <c r="M11" s="551">
        <f t="shared" si="5"/>
        <v>100</v>
      </c>
      <c r="N11" s="551">
        <f t="shared" si="5"/>
        <v>100</v>
      </c>
      <c r="O11" s="551">
        <f t="shared" si="5"/>
        <v>100</v>
      </c>
      <c r="P11" s="551">
        <f t="shared" si="5"/>
        <v>2100</v>
      </c>
      <c r="Q11" s="551">
        <f t="shared" si="5"/>
        <v>100</v>
      </c>
      <c r="R11" s="551">
        <f t="shared" si="5"/>
        <v>100</v>
      </c>
      <c r="S11" s="551">
        <f t="shared" si="5"/>
        <v>2600</v>
      </c>
      <c r="T11" s="551">
        <f t="shared" si="5"/>
        <v>100</v>
      </c>
      <c r="U11" s="551">
        <f t="shared" si="5"/>
        <v>100</v>
      </c>
      <c r="V11" s="551">
        <f t="shared" si="5"/>
        <v>0</v>
      </c>
      <c r="W11" s="552"/>
      <c r="X11" s="551">
        <f>SUM(X9:X10)</f>
        <v>10000</v>
      </c>
    </row>
    <row r="12" spans="1:24" ht="15.75" customHeight="1">
      <c r="A12" s="129"/>
      <c r="B12" s="129"/>
      <c r="C12" s="292"/>
      <c r="D12" s="196"/>
      <c r="E12" s="196"/>
      <c r="F12" s="196"/>
      <c r="G12" s="196"/>
      <c r="H12" s="196"/>
      <c r="I12" s="419"/>
      <c r="J12" s="196"/>
      <c r="K12" s="196"/>
      <c r="L12" s="196"/>
      <c r="M12" s="196"/>
      <c r="N12" s="196"/>
      <c r="O12" s="196"/>
      <c r="P12" s="196"/>
      <c r="Q12" s="196"/>
      <c r="R12" s="196"/>
      <c r="S12" s="196"/>
      <c r="T12" s="196"/>
      <c r="U12" s="196"/>
      <c r="V12" s="196"/>
      <c r="W12" s="196"/>
      <c r="X12" s="196"/>
    </row>
    <row r="13" spans="1:24" ht="15.75" hidden="1" customHeight="1">
      <c r="A13" s="276" t="s">
        <v>291</v>
      </c>
      <c r="B13" s="129"/>
      <c r="C13" s="292"/>
      <c r="D13" s="277"/>
      <c r="E13" s="277"/>
      <c r="F13" s="277"/>
      <c r="G13" s="277"/>
      <c r="H13" s="277"/>
      <c r="I13" s="210"/>
      <c r="J13" s="277"/>
      <c r="K13" s="278">
        <f>K6-K11</f>
        <v>-4500</v>
      </c>
      <c r="L13" s="278"/>
      <c r="M13" s="278">
        <f>M6-M11</f>
        <v>-100</v>
      </c>
      <c r="N13" s="278"/>
      <c r="O13" s="278">
        <f>O6-O11</f>
        <v>-100</v>
      </c>
      <c r="P13" s="278"/>
      <c r="Q13" s="278">
        <f>Q6-Q11</f>
        <v>-100</v>
      </c>
      <c r="R13" s="278"/>
      <c r="S13" s="278">
        <f>S6-S11</f>
        <v>-2600</v>
      </c>
      <c r="T13" s="278"/>
      <c r="U13" s="278">
        <f>U6-U11</f>
        <v>-100</v>
      </c>
      <c r="V13" s="278"/>
      <c r="W13" s="278">
        <f t="shared" ref="W13:X13" si="6">W6-W11</f>
        <v>0</v>
      </c>
      <c r="X13" s="278">
        <f t="shared" si="6"/>
        <v>-9000</v>
      </c>
    </row>
    <row r="14" spans="1:24" ht="15.75" hidden="1" customHeight="1">
      <c r="A14" s="128"/>
      <c r="B14" s="129"/>
      <c r="C14" s="292"/>
      <c r="D14" s="129"/>
      <c r="E14" s="129"/>
      <c r="F14" s="129"/>
      <c r="G14" s="129"/>
      <c r="H14" s="129"/>
      <c r="I14" s="207"/>
      <c r="J14" s="129"/>
      <c r="K14" s="129"/>
      <c r="L14" s="129"/>
      <c r="M14" s="129"/>
      <c r="N14" s="129"/>
      <c r="O14" s="129"/>
      <c r="P14" s="129"/>
      <c r="Q14" s="129"/>
      <c r="R14" s="129"/>
      <c r="S14" s="129"/>
      <c r="T14" s="129"/>
      <c r="U14" s="129"/>
      <c r="V14" s="129"/>
      <c r="W14" s="129"/>
      <c r="X14" s="129"/>
    </row>
    <row r="15" spans="1:24" ht="15.75" hidden="1" customHeight="1">
      <c r="C15" s="328"/>
      <c r="D15" s="289"/>
      <c r="E15" s="289"/>
      <c r="F15" s="289"/>
      <c r="G15" s="289"/>
      <c r="H15" s="289"/>
      <c r="I15" s="289"/>
      <c r="J15" s="289"/>
      <c r="K15" s="289"/>
      <c r="L15" s="289"/>
      <c r="M15" s="289"/>
      <c r="N15" s="289"/>
      <c r="O15" s="289"/>
      <c r="P15" s="289"/>
      <c r="Q15" s="289"/>
      <c r="R15" s="289"/>
      <c r="S15" s="289"/>
      <c r="T15" s="289"/>
      <c r="U15" s="289"/>
      <c r="V15" s="289"/>
      <c r="W15" s="289"/>
      <c r="X15" s="289"/>
    </row>
    <row r="16" spans="1:24" ht="15.75" hidden="1" customHeight="1">
      <c r="C16" s="328"/>
      <c r="D16" s="289"/>
      <c r="E16" s="289"/>
      <c r="F16" s="289"/>
      <c r="G16" s="289"/>
      <c r="H16" s="289"/>
      <c r="I16" s="289"/>
      <c r="J16" s="289"/>
      <c r="K16" s="289"/>
      <c r="L16" s="289"/>
      <c r="M16" s="289"/>
      <c r="N16" s="289"/>
      <c r="O16" s="289"/>
      <c r="P16" s="289"/>
      <c r="Q16" s="289"/>
      <c r="R16" s="289"/>
      <c r="S16" s="289"/>
      <c r="T16" s="289"/>
      <c r="U16" s="289"/>
      <c r="V16" s="289"/>
      <c r="W16" s="289"/>
      <c r="X16" s="289"/>
    </row>
    <row r="17" spans="3:24" ht="15.75" hidden="1" customHeight="1">
      <c r="C17" s="328"/>
      <c r="D17" s="289"/>
      <c r="E17" s="289"/>
      <c r="F17" s="289"/>
      <c r="G17" s="289"/>
      <c r="H17" s="289"/>
      <c r="I17" s="289"/>
      <c r="J17" s="289"/>
      <c r="K17" s="289"/>
      <c r="L17" s="289"/>
      <c r="M17" s="289"/>
      <c r="N17" s="289"/>
      <c r="O17" s="289"/>
      <c r="P17" s="289"/>
      <c r="Q17" s="289"/>
      <c r="R17" s="289"/>
      <c r="S17" s="289"/>
      <c r="T17" s="289"/>
      <c r="U17" s="289"/>
      <c r="V17" s="289"/>
      <c r="W17" s="289"/>
      <c r="X17" s="289"/>
    </row>
    <row r="18" spans="3:24" ht="15.75" hidden="1" customHeight="1">
      <c r="C18" s="328"/>
      <c r="D18" s="289"/>
      <c r="E18" s="289"/>
      <c r="F18" s="289"/>
      <c r="G18" s="289"/>
      <c r="H18" s="289"/>
      <c r="I18" s="289"/>
      <c r="J18" s="289"/>
      <c r="K18" s="289"/>
      <c r="L18" s="289"/>
      <c r="M18" s="289"/>
      <c r="N18" s="289"/>
      <c r="O18" s="289"/>
      <c r="P18" s="289"/>
      <c r="Q18" s="289"/>
      <c r="R18" s="289"/>
      <c r="S18" s="289"/>
      <c r="T18" s="289"/>
      <c r="U18" s="289"/>
      <c r="V18" s="289"/>
      <c r="W18" s="289"/>
      <c r="X18" s="289"/>
    </row>
    <row r="19" spans="3:24" ht="15.75" hidden="1" customHeight="1">
      <c r="C19" s="328"/>
      <c r="D19" s="289"/>
      <c r="E19" s="289"/>
      <c r="F19" s="289"/>
      <c r="G19" s="289"/>
      <c r="H19" s="289"/>
      <c r="I19" s="289"/>
      <c r="J19" s="289"/>
      <c r="K19" s="289"/>
      <c r="L19" s="289"/>
      <c r="M19" s="289"/>
      <c r="N19" s="289"/>
      <c r="O19" s="289"/>
      <c r="P19" s="289"/>
      <c r="Q19" s="289"/>
      <c r="R19" s="289"/>
      <c r="S19" s="289"/>
      <c r="T19" s="289"/>
      <c r="U19" s="289"/>
      <c r="V19" s="289"/>
      <c r="W19" s="289"/>
      <c r="X19" s="289"/>
    </row>
    <row r="20" spans="3:24" ht="15.75" hidden="1" customHeight="1">
      <c r="C20" s="328"/>
      <c r="D20" s="289"/>
      <c r="E20" s="289"/>
      <c r="F20" s="289"/>
      <c r="G20" s="289"/>
      <c r="H20" s="289"/>
      <c r="I20" s="289"/>
      <c r="J20" s="289"/>
      <c r="K20" s="289"/>
      <c r="L20" s="289"/>
      <c r="M20" s="289"/>
      <c r="N20" s="289"/>
      <c r="O20" s="289"/>
      <c r="P20" s="289"/>
      <c r="Q20" s="289"/>
      <c r="R20" s="289"/>
      <c r="S20" s="289"/>
      <c r="T20" s="289"/>
      <c r="U20" s="289"/>
      <c r="V20" s="289"/>
      <c r="W20" s="289"/>
      <c r="X20" s="289"/>
    </row>
    <row r="21" spans="3:24" ht="15.75" hidden="1" customHeight="1">
      <c r="C21" s="328"/>
      <c r="D21" s="289"/>
      <c r="E21" s="289"/>
      <c r="F21" s="289"/>
      <c r="G21" s="289"/>
      <c r="H21" s="289"/>
      <c r="I21" s="289"/>
      <c r="J21" s="289"/>
      <c r="K21" s="289"/>
      <c r="L21" s="289"/>
      <c r="M21" s="289"/>
      <c r="N21" s="289"/>
      <c r="O21" s="289"/>
      <c r="P21" s="289"/>
      <c r="Q21" s="289"/>
      <c r="R21" s="289"/>
      <c r="S21" s="289"/>
      <c r="T21" s="289"/>
      <c r="U21" s="289"/>
      <c r="V21" s="289"/>
      <c r="W21" s="289"/>
      <c r="X21" s="289"/>
    </row>
    <row r="22" spans="3:24" ht="15.75" hidden="1" customHeight="1">
      <c r="C22" s="328"/>
      <c r="D22" s="289"/>
      <c r="E22" s="289"/>
      <c r="F22" s="289"/>
      <c r="G22" s="289"/>
      <c r="H22" s="289"/>
      <c r="I22" s="289"/>
      <c r="J22" s="289"/>
      <c r="K22" s="289"/>
      <c r="L22" s="289"/>
      <c r="M22" s="289"/>
      <c r="N22" s="289"/>
      <c r="O22" s="289"/>
      <c r="P22" s="289"/>
      <c r="Q22" s="289"/>
      <c r="R22" s="289"/>
      <c r="S22" s="289"/>
      <c r="T22" s="289"/>
      <c r="U22" s="289"/>
      <c r="V22" s="289"/>
      <c r="W22" s="289"/>
      <c r="X22" s="289"/>
    </row>
    <row r="23" spans="3:24" ht="15.75" customHeight="1">
      <c r="C23" s="328"/>
      <c r="D23" s="289"/>
      <c r="E23" s="289"/>
      <c r="F23" s="289"/>
      <c r="G23" s="289"/>
      <c r="H23" s="289"/>
      <c r="I23" s="289"/>
      <c r="J23" s="289"/>
      <c r="K23" s="289"/>
      <c r="L23" s="289"/>
      <c r="M23" s="289"/>
      <c r="N23" s="289"/>
      <c r="O23" s="289"/>
      <c r="P23" s="289"/>
      <c r="Q23" s="289"/>
      <c r="R23" s="289"/>
      <c r="S23" s="289"/>
      <c r="T23" s="289"/>
      <c r="U23" s="289"/>
      <c r="V23" s="289"/>
      <c r="W23" s="289"/>
      <c r="X23" s="289"/>
    </row>
    <row r="24" spans="3:24" ht="15.75" customHeight="1">
      <c r="C24" s="328"/>
      <c r="D24" s="289"/>
      <c r="E24" s="289"/>
      <c r="F24" s="289"/>
      <c r="G24" s="289"/>
      <c r="H24" s="289"/>
      <c r="I24" s="289"/>
      <c r="J24" s="289"/>
      <c r="K24" s="289"/>
      <c r="L24" s="289"/>
      <c r="M24" s="289"/>
      <c r="N24" s="289"/>
      <c r="O24" s="289"/>
      <c r="P24" s="289"/>
      <c r="Q24" s="289"/>
      <c r="R24" s="289"/>
      <c r="S24" s="289"/>
      <c r="T24" s="289"/>
      <c r="U24" s="289"/>
      <c r="V24" s="289"/>
      <c r="W24" s="289"/>
      <c r="X24" s="289"/>
    </row>
    <row r="25" spans="3:24" ht="15.75" customHeight="1">
      <c r="C25" s="328"/>
      <c r="D25" s="289"/>
      <c r="E25" s="289"/>
      <c r="F25" s="289"/>
      <c r="G25" s="289"/>
      <c r="H25" s="289"/>
      <c r="I25" s="289"/>
      <c r="J25" s="289"/>
      <c r="K25" s="289"/>
      <c r="L25" s="289"/>
      <c r="M25" s="289"/>
      <c r="N25" s="289"/>
      <c r="O25" s="289"/>
      <c r="P25" s="289"/>
      <c r="Q25" s="289"/>
      <c r="R25" s="289"/>
      <c r="S25" s="289"/>
      <c r="T25" s="289"/>
      <c r="U25" s="289"/>
      <c r="V25" s="289"/>
      <c r="W25" s="289"/>
      <c r="X25" s="289"/>
    </row>
    <row r="26" spans="3:24" ht="15.75" customHeight="1">
      <c r="C26" s="328"/>
      <c r="D26" s="289"/>
      <c r="E26" s="289"/>
      <c r="F26" s="289"/>
      <c r="G26" s="289"/>
      <c r="H26" s="289"/>
      <c r="I26" s="289"/>
      <c r="J26" s="289"/>
      <c r="K26" s="289"/>
      <c r="L26" s="289"/>
      <c r="M26" s="289"/>
      <c r="N26" s="289"/>
      <c r="O26" s="289"/>
      <c r="P26" s="289"/>
      <c r="Q26" s="289"/>
      <c r="R26" s="289"/>
      <c r="S26" s="289"/>
      <c r="T26" s="289"/>
      <c r="U26" s="289"/>
      <c r="V26" s="289"/>
      <c r="W26" s="289"/>
      <c r="X26" s="289"/>
    </row>
    <row r="27" spans="3:24" ht="15.75" customHeight="1">
      <c r="C27" s="328"/>
      <c r="D27" s="289"/>
      <c r="E27" s="289"/>
      <c r="F27" s="289"/>
      <c r="G27" s="289"/>
      <c r="H27" s="289"/>
      <c r="I27" s="289"/>
      <c r="J27" s="289"/>
      <c r="K27" s="289"/>
      <c r="L27" s="289"/>
      <c r="M27" s="289"/>
      <c r="N27" s="289"/>
      <c r="O27" s="289"/>
      <c r="P27" s="289"/>
      <c r="Q27" s="289"/>
      <c r="R27" s="289"/>
      <c r="S27" s="289"/>
      <c r="T27" s="289"/>
      <c r="U27" s="289"/>
      <c r="V27" s="289"/>
      <c r="W27" s="289"/>
      <c r="X27" s="289"/>
    </row>
    <row r="28" spans="3:24" ht="15.75" customHeight="1">
      <c r="C28" s="328"/>
      <c r="D28" s="289"/>
      <c r="E28" s="289"/>
      <c r="F28" s="289"/>
      <c r="G28" s="289"/>
      <c r="H28" s="289"/>
      <c r="I28" s="289"/>
      <c r="J28" s="289"/>
      <c r="K28" s="289"/>
      <c r="L28" s="289"/>
      <c r="M28" s="289"/>
      <c r="N28" s="289"/>
      <c r="O28" s="289"/>
      <c r="P28" s="289"/>
      <c r="Q28" s="289"/>
      <c r="R28" s="289"/>
      <c r="S28" s="289"/>
      <c r="T28" s="289"/>
      <c r="U28" s="289"/>
      <c r="V28" s="289"/>
      <c r="W28" s="289"/>
      <c r="X28" s="289"/>
    </row>
    <row r="29" spans="3:24" ht="15.75" customHeight="1">
      <c r="C29" s="328"/>
      <c r="D29" s="289"/>
      <c r="E29" s="289"/>
      <c r="F29" s="289"/>
      <c r="G29" s="289"/>
      <c r="H29" s="289"/>
      <c r="I29" s="289"/>
      <c r="J29" s="289"/>
      <c r="K29" s="289"/>
      <c r="L29" s="289"/>
      <c r="M29" s="289"/>
      <c r="N29" s="289"/>
      <c r="O29" s="289"/>
      <c r="P29" s="289"/>
      <c r="Q29" s="289"/>
      <c r="R29" s="289"/>
      <c r="S29" s="289"/>
      <c r="T29" s="289"/>
      <c r="U29" s="289"/>
      <c r="V29" s="289"/>
      <c r="W29" s="289"/>
      <c r="X29" s="289"/>
    </row>
    <row r="30" spans="3:24" ht="15.75" customHeight="1">
      <c r="C30" s="328"/>
      <c r="D30" s="289"/>
      <c r="E30" s="289"/>
      <c r="F30" s="289"/>
      <c r="G30" s="289"/>
      <c r="H30" s="289"/>
      <c r="I30" s="289"/>
      <c r="J30" s="289"/>
      <c r="K30" s="289"/>
      <c r="L30" s="289"/>
      <c r="M30" s="289"/>
      <c r="N30" s="289"/>
      <c r="O30" s="289"/>
      <c r="P30" s="289"/>
      <c r="Q30" s="289"/>
      <c r="R30" s="289"/>
      <c r="S30" s="289"/>
      <c r="T30" s="289"/>
      <c r="U30" s="289"/>
      <c r="V30" s="289"/>
      <c r="W30" s="289"/>
      <c r="X30" s="289"/>
    </row>
    <row r="31" spans="3:24" ht="15.75" customHeight="1">
      <c r="C31" s="328"/>
      <c r="D31" s="289"/>
      <c r="E31" s="289"/>
      <c r="F31" s="289"/>
      <c r="G31" s="289"/>
      <c r="H31" s="289"/>
      <c r="I31" s="289"/>
      <c r="J31" s="289"/>
      <c r="K31" s="289"/>
      <c r="L31" s="289"/>
      <c r="M31" s="289"/>
      <c r="N31" s="289"/>
      <c r="O31" s="289"/>
      <c r="P31" s="289"/>
      <c r="Q31" s="289"/>
      <c r="R31" s="289"/>
      <c r="S31" s="289"/>
      <c r="T31" s="289"/>
      <c r="U31" s="289"/>
      <c r="V31" s="289"/>
      <c r="W31" s="289"/>
      <c r="X31" s="289"/>
    </row>
    <row r="32" spans="3:24" ht="15.75" customHeight="1">
      <c r="C32" s="328"/>
      <c r="D32" s="289"/>
      <c r="E32" s="289"/>
      <c r="F32" s="289"/>
      <c r="G32" s="289"/>
      <c r="H32" s="289"/>
      <c r="I32" s="289"/>
      <c r="J32" s="289"/>
      <c r="K32" s="289"/>
      <c r="L32" s="289"/>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289"/>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289"/>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289"/>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3:24" ht="15.75" customHeight="1"/>
    <row r="220" spans="3:24" ht="15.75" customHeight="1"/>
    <row r="221" spans="3:24" ht="15.75" customHeight="1"/>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pageMargins left="0.7" right="0.7" top="0.75" bottom="0.75" header="0" footer="0"/>
  <pageSetup orientation="landscape"/>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X998"/>
  <sheetViews>
    <sheetView workbookViewId="0"/>
  </sheetViews>
  <sheetFormatPr defaultColWidth="12.5703125" defaultRowHeight="15" customHeight="1"/>
  <cols>
    <col min="1" max="1" width="4" customWidth="1"/>
    <col min="2" max="2" width="30.42578125" customWidth="1"/>
    <col min="3" max="3" width="11.140625" customWidth="1"/>
    <col min="4" max="4" width="14.5703125" customWidth="1"/>
    <col min="5" max="5" width="13.7109375" customWidth="1"/>
    <col min="6" max="6" width="10.42578125" customWidth="1"/>
    <col min="7" max="7" width="13.42578125" customWidth="1"/>
    <col min="8" max="8" width="1.42578125" customWidth="1"/>
    <col min="9" max="9" width="55.42578125" customWidth="1"/>
    <col min="10" max="10" width="1.57031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1.85546875" customWidth="1"/>
    <col min="24" max="24" width="11.42578125" customWidth="1"/>
  </cols>
  <sheetData>
    <row r="1" spans="1:24" ht="15.75" customHeight="1">
      <c r="A1" s="128" t="s">
        <v>122</v>
      </c>
      <c r="B1" s="129"/>
      <c r="C1" s="292"/>
      <c r="D1" s="129"/>
      <c r="E1" s="129"/>
      <c r="F1" s="129"/>
      <c r="G1" s="129"/>
      <c r="H1" s="129"/>
      <c r="I1" s="207"/>
      <c r="J1" s="129"/>
      <c r="K1" s="129"/>
      <c r="L1" s="130"/>
      <c r="M1" s="130"/>
      <c r="N1" s="129"/>
      <c r="O1" s="129"/>
      <c r="P1" s="129"/>
      <c r="Q1" s="129"/>
      <c r="R1" s="129"/>
      <c r="S1" s="129"/>
      <c r="T1" s="129"/>
      <c r="U1" s="129"/>
      <c r="V1" s="129"/>
      <c r="W1" s="129"/>
      <c r="X1" s="129"/>
    </row>
    <row r="2" spans="1:24" ht="15.75" customHeight="1">
      <c r="A2" s="128" t="s">
        <v>591</v>
      </c>
      <c r="B2" s="129"/>
      <c r="C2" s="292"/>
      <c r="D2" s="129"/>
      <c r="E2" s="129"/>
      <c r="F2" s="129"/>
      <c r="G2" s="129"/>
      <c r="H2" s="129"/>
      <c r="I2" s="207"/>
      <c r="J2" s="129"/>
      <c r="K2" s="129"/>
      <c r="L2" s="130"/>
      <c r="M2" s="129"/>
      <c r="N2" s="129"/>
      <c r="O2" s="129"/>
      <c r="P2" s="129"/>
      <c r="Q2" s="129"/>
      <c r="R2" s="129"/>
      <c r="S2" s="129"/>
      <c r="T2" s="129"/>
      <c r="U2" s="129"/>
      <c r="V2" s="129"/>
      <c r="W2" s="129"/>
      <c r="X2" s="129"/>
    </row>
    <row r="3" spans="1:24" ht="15.75" customHeight="1">
      <c r="A3" s="293"/>
      <c r="B3" s="294"/>
      <c r="C3" s="292"/>
      <c r="D3" s="129"/>
      <c r="E3" s="129"/>
      <c r="F3" s="129"/>
      <c r="G3" s="129"/>
      <c r="H3" s="129"/>
      <c r="I3" s="207"/>
      <c r="J3" s="129"/>
      <c r="K3" s="129"/>
      <c r="L3" s="130"/>
      <c r="M3" s="129"/>
      <c r="N3" s="129"/>
      <c r="O3" s="129"/>
      <c r="P3" s="129"/>
      <c r="Q3" s="129"/>
      <c r="R3" s="135"/>
      <c r="S3" s="135"/>
      <c r="T3" s="129"/>
      <c r="U3" s="129"/>
      <c r="V3" s="129"/>
      <c r="W3" s="129"/>
      <c r="X3" s="129"/>
    </row>
    <row r="4" spans="1:24" ht="37.5" customHeight="1">
      <c r="A4" s="128" t="s">
        <v>126</v>
      </c>
      <c r="B4" s="129"/>
      <c r="C4" s="137" t="s">
        <v>127</v>
      </c>
      <c r="D4" s="140" t="s">
        <v>128</v>
      </c>
      <c r="E4" s="140" t="s">
        <v>129</v>
      </c>
      <c r="F4" s="140" t="s">
        <v>130</v>
      </c>
      <c r="G4" s="140" t="s">
        <v>131</v>
      </c>
      <c r="H4" s="298"/>
      <c r="I4" s="299" t="s">
        <v>298</v>
      </c>
      <c r="J4" s="298"/>
      <c r="K4" s="466">
        <v>45474</v>
      </c>
      <c r="L4" s="466">
        <v>45505</v>
      </c>
      <c r="M4" s="466">
        <v>45536</v>
      </c>
      <c r="N4" s="466">
        <v>45566</v>
      </c>
      <c r="O4" s="466">
        <v>45597</v>
      </c>
      <c r="P4" s="466">
        <v>45627</v>
      </c>
      <c r="Q4" s="466">
        <v>45658</v>
      </c>
      <c r="R4" s="466">
        <v>45689</v>
      </c>
      <c r="S4" s="466">
        <v>45717</v>
      </c>
      <c r="T4" s="466">
        <v>45748</v>
      </c>
      <c r="U4" s="466">
        <v>45778</v>
      </c>
      <c r="V4" s="466">
        <v>45809</v>
      </c>
      <c r="W4" s="467"/>
      <c r="X4" s="202" t="s">
        <v>132</v>
      </c>
    </row>
    <row r="5" spans="1:24" ht="15.75" customHeight="1">
      <c r="A5" s="128" t="s">
        <v>153</v>
      </c>
      <c r="B5" s="128"/>
      <c r="C5" s="335">
        <v>0</v>
      </c>
      <c r="D5" s="190"/>
      <c r="E5" s="190"/>
      <c r="F5" s="190"/>
      <c r="G5" s="190"/>
      <c r="H5" s="192"/>
      <c r="I5" s="229"/>
      <c r="J5" s="192"/>
      <c r="K5" s="398">
        <v>0</v>
      </c>
      <c r="L5" s="398"/>
      <c r="M5" s="398">
        <v>0</v>
      </c>
      <c r="N5" s="398">
        <v>0</v>
      </c>
      <c r="O5" s="398">
        <v>0</v>
      </c>
      <c r="P5" s="398"/>
      <c r="Q5" s="398">
        <v>0</v>
      </c>
      <c r="R5" s="398"/>
      <c r="S5" s="398">
        <v>0</v>
      </c>
      <c r="T5" s="398"/>
      <c r="U5" s="398">
        <v>0</v>
      </c>
      <c r="V5" s="398"/>
      <c r="W5" s="194"/>
      <c r="X5" s="398">
        <v>0</v>
      </c>
    </row>
    <row r="6" spans="1:24" ht="15.75" customHeight="1">
      <c r="A6" s="128"/>
      <c r="B6" s="129"/>
      <c r="C6" s="292"/>
      <c r="D6" s="135"/>
      <c r="E6" s="135"/>
      <c r="F6" s="135"/>
      <c r="G6" s="135"/>
      <c r="H6" s="135"/>
      <c r="I6" s="399"/>
      <c r="J6" s="135"/>
      <c r="K6" s="135"/>
      <c r="L6" s="130"/>
      <c r="M6" s="135"/>
      <c r="N6" s="135"/>
      <c r="O6" s="135"/>
      <c r="P6" s="135"/>
      <c r="Q6" s="135"/>
      <c r="R6" s="135"/>
      <c r="S6" s="135"/>
      <c r="T6" s="135"/>
      <c r="U6" s="135"/>
      <c r="V6" s="135"/>
      <c r="W6" s="135"/>
      <c r="X6" s="135"/>
    </row>
    <row r="7" spans="1:24" ht="15.75" customHeight="1">
      <c r="A7" s="128" t="s">
        <v>154</v>
      </c>
      <c r="B7" s="129"/>
      <c r="C7" s="292"/>
      <c r="D7" s="295"/>
      <c r="E7" s="295"/>
      <c r="F7" s="295"/>
      <c r="G7" s="295"/>
      <c r="H7" s="295"/>
      <c r="I7" s="540"/>
      <c r="J7" s="295"/>
      <c r="K7" s="295"/>
      <c r="L7" s="454"/>
      <c r="M7" s="295"/>
      <c r="N7" s="295"/>
      <c r="O7" s="295"/>
      <c r="P7" s="295"/>
      <c r="Q7" s="295"/>
      <c r="R7" s="295"/>
      <c r="S7" s="295"/>
      <c r="T7" s="295"/>
      <c r="U7" s="295"/>
      <c r="V7" s="295"/>
      <c r="W7" s="295"/>
      <c r="X7" s="295"/>
    </row>
    <row r="8" spans="1:24" ht="15.75" customHeight="1">
      <c r="A8" s="128"/>
      <c r="B8" s="129" t="s">
        <v>592</v>
      </c>
      <c r="C8" s="577">
        <v>0</v>
      </c>
      <c r="D8" s="67">
        <v>3244.04</v>
      </c>
      <c r="E8" s="67">
        <v>2060</v>
      </c>
      <c r="F8" s="67">
        <v>2100</v>
      </c>
      <c r="G8" s="67">
        <f t="shared" ref="G8:G10" si="0">F8-C8</f>
        <v>2100</v>
      </c>
      <c r="H8" s="317"/>
      <c r="I8" s="598" t="s">
        <v>593</v>
      </c>
      <c r="J8" s="317"/>
      <c r="K8" s="349">
        <v>500</v>
      </c>
      <c r="L8" s="554">
        <v>1000</v>
      </c>
      <c r="M8" s="442"/>
      <c r="N8" s="554">
        <v>100</v>
      </c>
      <c r="O8" s="442"/>
      <c r="P8" s="554">
        <v>100</v>
      </c>
      <c r="Q8" s="442"/>
      <c r="R8" s="554">
        <v>100</v>
      </c>
      <c r="S8" s="554">
        <v>100</v>
      </c>
      <c r="T8" s="554">
        <v>100</v>
      </c>
      <c r="U8" s="554">
        <v>100</v>
      </c>
      <c r="V8" s="442"/>
      <c r="W8" s="426"/>
      <c r="X8" s="349">
        <f t="shared" ref="X8:X9" si="1">SUM(K8:V8)</f>
        <v>2100</v>
      </c>
    </row>
    <row r="9" spans="1:24" ht="15.75" customHeight="1">
      <c r="A9" s="128"/>
      <c r="B9" s="129" t="s">
        <v>588</v>
      </c>
      <c r="C9" s="577">
        <v>6500</v>
      </c>
      <c r="D9" s="67">
        <v>0</v>
      </c>
      <c r="E9" s="67">
        <v>1196</v>
      </c>
      <c r="F9" s="67">
        <v>4400</v>
      </c>
      <c r="G9" s="67">
        <f t="shared" si="0"/>
        <v>-2100</v>
      </c>
      <c r="H9" s="317"/>
      <c r="I9" s="580"/>
      <c r="J9" s="317"/>
      <c r="K9" s="433">
        <v>1000</v>
      </c>
      <c r="L9" s="396">
        <v>1000</v>
      </c>
      <c r="M9" s="396">
        <v>500</v>
      </c>
      <c r="N9" s="396">
        <v>200</v>
      </c>
      <c r="O9" s="396">
        <v>200</v>
      </c>
      <c r="P9" s="396">
        <v>500</v>
      </c>
      <c r="Q9" s="396">
        <v>200</v>
      </c>
      <c r="R9" s="396">
        <v>200</v>
      </c>
      <c r="S9" s="396">
        <v>200</v>
      </c>
      <c r="T9" s="396">
        <v>200</v>
      </c>
      <c r="U9" s="396">
        <v>200</v>
      </c>
      <c r="V9" s="538"/>
      <c r="W9" s="578"/>
      <c r="X9" s="433">
        <f t="shared" si="1"/>
        <v>4400</v>
      </c>
    </row>
    <row r="10" spans="1:24" ht="15.75" customHeight="1">
      <c r="A10" s="128" t="s">
        <v>594</v>
      </c>
      <c r="B10" s="128"/>
      <c r="C10" s="384">
        <f t="shared" ref="C10:F10" si="2">C9+C8</f>
        <v>6500</v>
      </c>
      <c r="D10" s="514">
        <f t="shared" si="2"/>
        <v>3244.04</v>
      </c>
      <c r="E10" s="514">
        <f t="shared" si="2"/>
        <v>3256</v>
      </c>
      <c r="F10" s="514">
        <f t="shared" si="2"/>
        <v>6500</v>
      </c>
      <c r="G10" s="515">
        <f t="shared" si="0"/>
        <v>0</v>
      </c>
      <c r="H10" s="516"/>
      <c r="I10" s="378"/>
      <c r="J10" s="516"/>
      <c r="K10" s="551">
        <f t="shared" ref="K10:V10" si="3">SUM(K8:K9)</f>
        <v>1500</v>
      </c>
      <c r="L10" s="551">
        <f t="shared" si="3"/>
        <v>2000</v>
      </c>
      <c r="M10" s="551">
        <f t="shared" si="3"/>
        <v>500</v>
      </c>
      <c r="N10" s="551">
        <f t="shared" si="3"/>
        <v>300</v>
      </c>
      <c r="O10" s="551">
        <f t="shared" si="3"/>
        <v>200</v>
      </c>
      <c r="P10" s="551">
        <f t="shared" si="3"/>
        <v>600</v>
      </c>
      <c r="Q10" s="551">
        <f t="shared" si="3"/>
        <v>200</v>
      </c>
      <c r="R10" s="551">
        <f t="shared" si="3"/>
        <v>300</v>
      </c>
      <c r="S10" s="551">
        <f t="shared" si="3"/>
        <v>300</v>
      </c>
      <c r="T10" s="551">
        <f t="shared" si="3"/>
        <v>300</v>
      </c>
      <c r="U10" s="551">
        <f t="shared" si="3"/>
        <v>300</v>
      </c>
      <c r="V10" s="551">
        <f t="shared" si="3"/>
        <v>0</v>
      </c>
      <c r="W10" s="552"/>
      <c r="X10" s="551">
        <f>SUM(X8:X9)</f>
        <v>6500</v>
      </c>
    </row>
    <row r="11" spans="1:24" ht="15.75" customHeight="1">
      <c r="A11" s="129"/>
      <c r="B11" s="129"/>
      <c r="C11" s="292"/>
      <c r="D11" s="196"/>
      <c r="E11" s="196"/>
      <c r="F11" s="196"/>
      <c r="G11" s="196"/>
      <c r="H11" s="196"/>
      <c r="I11" s="419"/>
      <c r="J11" s="196"/>
      <c r="K11" s="196"/>
      <c r="L11" s="420"/>
      <c r="M11" s="196"/>
      <c r="N11" s="196"/>
      <c r="O11" s="196"/>
      <c r="P11" s="196"/>
      <c r="Q11" s="196"/>
      <c r="R11" s="196"/>
      <c r="S11" s="196"/>
      <c r="T11" s="196"/>
      <c r="U11" s="196"/>
      <c r="V11" s="196"/>
      <c r="W11" s="196"/>
      <c r="X11" s="196"/>
    </row>
    <row r="12" spans="1:24" ht="15.75" hidden="1" customHeight="1">
      <c r="A12" s="276" t="s">
        <v>291</v>
      </c>
      <c r="B12" s="129"/>
      <c r="C12" s="292"/>
      <c r="D12" s="277"/>
      <c r="E12" s="277"/>
      <c r="F12" s="277"/>
      <c r="G12" s="277"/>
      <c r="H12" s="277"/>
      <c r="I12" s="210"/>
      <c r="J12" s="277"/>
      <c r="K12" s="278">
        <f>K5-K10</f>
        <v>-1500</v>
      </c>
      <c r="L12" s="278"/>
      <c r="M12" s="278">
        <f>M5-M10</f>
        <v>-500</v>
      </c>
      <c r="N12" s="278"/>
      <c r="O12" s="278">
        <f>O5-O10</f>
        <v>-200</v>
      </c>
      <c r="P12" s="278"/>
      <c r="Q12" s="278">
        <f>Q5-Q10</f>
        <v>-200</v>
      </c>
      <c r="R12" s="278"/>
      <c r="S12" s="278">
        <f>S5-S10</f>
        <v>-300</v>
      </c>
      <c r="T12" s="278"/>
      <c r="U12" s="278">
        <f>U5-U10</f>
        <v>-300</v>
      </c>
      <c r="V12" s="278"/>
      <c r="W12" s="278">
        <f t="shared" ref="W12:X12" si="4">W5-W10</f>
        <v>0</v>
      </c>
      <c r="X12" s="278">
        <f t="shared" si="4"/>
        <v>-6500</v>
      </c>
    </row>
    <row r="13" spans="1:24" ht="15.75" hidden="1" customHeight="1">
      <c r="A13" s="128"/>
      <c r="B13" s="129"/>
      <c r="C13" s="292"/>
      <c r="D13" s="129"/>
      <c r="E13" s="129"/>
      <c r="F13" s="129"/>
      <c r="G13" s="129"/>
      <c r="H13" s="129"/>
      <c r="I13" s="207"/>
      <c r="J13" s="129"/>
      <c r="K13" s="129"/>
      <c r="L13" s="130"/>
      <c r="M13" s="129"/>
      <c r="N13" s="129"/>
      <c r="O13" s="129"/>
      <c r="P13" s="129"/>
      <c r="Q13" s="129"/>
      <c r="R13" s="129"/>
      <c r="S13" s="129"/>
      <c r="T13" s="129"/>
      <c r="U13" s="129"/>
      <c r="V13" s="129"/>
      <c r="W13" s="129"/>
      <c r="X13" s="129"/>
    </row>
    <row r="14" spans="1:24" ht="15.75" hidden="1" customHeight="1">
      <c r="C14" s="328"/>
      <c r="D14" s="289"/>
      <c r="E14" s="289"/>
      <c r="F14" s="289"/>
      <c r="G14" s="289"/>
      <c r="H14" s="289"/>
      <c r="I14" s="289"/>
      <c r="J14" s="289"/>
      <c r="K14" s="289"/>
      <c r="L14" s="422"/>
      <c r="M14" s="289"/>
      <c r="N14" s="289"/>
      <c r="O14" s="289"/>
      <c r="P14" s="289"/>
      <c r="Q14" s="289"/>
      <c r="R14" s="289"/>
      <c r="S14" s="289"/>
      <c r="T14" s="289"/>
      <c r="U14" s="289"/>
      <c r="V14" s="289"/>
      <c r="W14" s="289"/>
      <c r="X14" s="289"/>
    </row>
    <row r="15" spans="1:24" ht="15.75" hidden="1" customHeight="1">
      <c r="C15" s="328"/>
      <c r="D15" s="289"/>
      <c r="E15" s="289"/>
      <c r="F15" s="289"/>
      <c r="G15" s="289"/>
      <c r="H15" s="289"/>
      <c r="I15" s="289"/>
      <c r="J15" s="289"/>
      <c r="K15" s="289"/>
      <c r="L15" s="422"/>
      <c r="M15" s="289"/>
      <c r="N15" s="289"/>
      <c r="O15" s="289"/>
      <c r="P15" s="289"/>
      <c r="Q15" s="289"/>
      <c r="R15" s="289"/>
      <c r="S15" s="289"/>
      <c r="T15" s="289"/>
      <c r="U15" s="289"/>
      <c r="V15" s="289"/>
      <c r="W15" s="289"/>
      <c r="X15" s="289"/>
    </row>
    <row r="16" spans="1:24" ht="15.75" hidden="1" customHeight="1">
      <c r="C16" s="328"/>
      <c r="D16" s="289"/>
      <c r="E16" s="289"/>
      <c r="F16" s="289"/>
      <c r="G16" s="289"/>
      <c r="H16" s="289"/>
      <c r="I16" s="289"/>
      <c r="J16" s="289"/>
      <c r="K16" s="289"/>
      <c r="L16" s="422"/>
      <c r="M16" s="289"/>
      <c r="N16" s="289"/>
      <c r="O16" s="289"/>
      <c r="P16" s="289"/>
      <c r="Q16" s="289"/>
      <c r="R16" s="289"/>
      <c r="S16" s="289"/>
      <c r="T16" s="289"/>
      <c r="U16" s="289"/>
      <c r="V16" s="289"/>
      <c r="W16" s="289"/>
      <c r="X16" s="289"/>
    </row>
    <row r="17" spans="3:24" ht="15.75" hidden="1" customHeight="1">
      <c r="C17" s="328"/>
      <c r="D17" s="289"/>
      <c r="E17" s="289"/>
      <c r="F17" s="289"/>
      <c r="G17" s="289"/>
      <c r="H17" s="289"/>
      <c r="I17" s="289"/>
      <c r="J17" s="289"/>
      <c r="K17" s="289"/>
      <c r="L17" s="422"/>
      <c r="M17" s="289"/>
      <c r="N17" s="289"/>
      <c r="O17" s="289"/>
      <c r="P17" s="289"/>
      <c r="Q17" s="289"/>
      <c r="R17" s="289"/>
      <c r="S17" s="289"/>
      <c r="T17" s="289"/>
      <c r="U17" s="289"/>
      <c r="V17" s="289"/>
      <c r="W17" s="289"/>
      <c r="X17" s="289"/>
    </row>
    <row r="18" spans="3:24" ht="15.75" hidden="1" customHeight="1">
      <c r="C18" s="328"/>
      <c r="D18" s="289"/>
      <c r="E18" s="289"/>
      <c r="F18" s="289"/>
      <c r="G18" s="289"/>
      <c r="H18" s="289"/>
      <c r="I18" s="289"/>
      <c r="J18" s="289"/>
      <c r="K18" s="289"/>
      <c r="L18" s="422"/>
      <c r="M18" s="289"/>
      <c r="N18" s="289"/>
      <c r="O18" s="289"/>
      <c r="P18" s="289"/>
      <c r="Q18" s="289"/>
      <c r="R18" s="289"/>
      <c r="S18" s="289"/>
      <c r="T18" s="289"/>
      <c r="U18" s="289"/>
      <c r="V18" s="289"/>
      <c r="W18" s="289"/>
      <c r="X18" s="289"/>
    </row>
    <row r="19" spans="3:24" ht="15.75" hidden="1" customHeight="1">
      <c r="C19" s="328"/>
      <c r="D19" s="289"/>
      <c r="E19" s="289"/>
      <c r="F19" s="289"/>
      <c r="G19" s="289"/>
      <c r="H19" s="289"/>
      <c r="I19" s="289"/>
      <c r="J19" s="289"/>
      <c r="K19" s="289"/>
      <c r="L19" s="422"/>
      <c r="M19" s="289"/>
      <c r="N19" s="289"/>
      <c r="O19" s="289"/>
      <c r="P19" s="289"/>
      <c r="Q19" s="289"/>
      <c r="R19" s="289"/>
      <c r="S19" s="289"/>
      <c r="T19" s="289"/>
      <c r="U19" s="289"/>
      <c r="V19" s="289"/>
      <c r="W19" s="289"/>
      <c r="X19" s="289"/>
    </row>
    <row r="20" spans="3:24" ht="15.75" hidden="1" customHeight="1">
      <c r="C20" s="328"/>
      <c r="D20" s="289"/>
      <c r="E20" s="289"/>
      <c r="F20" s="289"/>
      <c r="G20" s="289"/>
      <c r="H20" s="289"/>
      <c r="I20" s="289"/>
      <c r="J20" s="289"/>
      <c r="K20" s="289"/>
      <c r="L20" s="422"/>
      <c r="M20" s="289"/>
      <c r="N20" s="289"/>
      <c r="O20" s="289"/>
      <c r="P20" s="289"/>
      <c r="Q20" s="289"/>
      <c r="R20" s="289"/>
      <c r="S20" s="289"/>
      <c r="T20" s="289"/>
      <c r="U20" s="289"/>
      <c r="V20" s="289"/>
      <c r="W20" s="289"/>
      <c r="X20" s="289"/>
    </row>
    <row r="21" spans="3:24" ht="15.75" hidden="1" customHeight="1">
      <c r="C21" s="328"/>
      <c r="D21" s="289"/>
      <c r="E21" s="289"/>
      <c r="F21" s="289"/>
      <c r="G21" s="289"/>
      <c r="H21" s="289"/>
      <c r="I21" s="289"/>
      <c r="J21" s="289"/>
      <c r="K21" s="289"/>
      <c r="L21" s="422"/>
      <c r="M21" s="289"/>
      <c r="N21" s="289"/>
      <c r="O21" s="289"/>
      <c r="P21" s="289"/>
      <c r="Q21" s="289"/>
      <c r="R21" s="289"/>
      <c r="S21" s="289"/>
      <c r="T21" s="289"/>
      <c r="U21" s="289"/>
      <c r="V21" s="289"/>
      <c r="W21" s="289"/>
      <c r="X21" s="289"/>
    </row>
    <row r="22" spans="3:24" ht="15.75" customHeight="1">
      <c r="C22" s="328"/>
      <c r="D22" s="289"/>
      <c r="E22" s="289"/>
      <c r="F22" s="289"/>
      <c r="G22" s="289"/>
      <c r="H22" s="289"/>
      <c r="I22" s="289"/>
      <c r="J22" s="289"/>
      <c r="K22" s="289"/>
      <c r="L22" s="422"/>
      <c r="M22" s="289"/>
      <c r="N22" s="289"/>
      <c r="O22" s="289"/>
      <c r="P22" s="289"/>
      <c r="Q22" s="289"/>
      <c r="R22" s="289"/>
      <c r="S22" s="289"/>
      <c r="T22" s="289"/>
      <c r="U22" s="289"/>
      <c r="V22" s="289"/>
      <c r="W22" s="289"/>
      <c r="X22" s="289"/>
    </row>
    <row r="23" spans="3:24" ht="15.75" customHeight="1">
      <c r="C23" s="328"/>
      <c r="D23" s="289"/>
      <c r="E23" s="289"/>
      <c r="F23" s="289"/>
      <c r="G23" s="289"/>
      <c r="H23" s="289"/>
      <c r="I23" s="289"/>
      <c r="J23" s="289"/>
      <c r="K23" s="289"/>
      <c r="L23" s="422"/>
      <c r="M23" s="289"/>
      <c r="N23" s="289"/>
      <c r="O23" s="289"/>
      <c r="P23" s="289"/>
      <c r="Q23" s="289"/>
      <c r="R23" s="289"/>
      <c r="S23" s="289"/>
      <c r="T23" s="289"/>
      <c r="U23" s="289"/>
      <c r="V23" s="289"/>
      <c r="W23" s="289"/>
      <c r="X23" s="289"/>
    </row>
    <row r="24" spans="3:24" ht="15.75" customHeight="1">
      <c r="C24" s="328"/>
      <c r="D24" s="289"/>
      <c r="E24" s="289"/>
      <c r="F24" s="289"/>
      <c r="G24" s="289"/>
      <c r="H24" s="289"/>
      <c r="I24" s="289"/>
      <c r="J24" s="289"/>
      <c r="K24" s="289"/>
      <c r="L24" s="422"/>
      <c r="M24" s="289"/>
      <c r="N24" s="289"/>
      <c r="O24" s="289"/>
      <c r="P24" s="289"/>
      <c r="Q24" s="289"/>
      <c r="R24" s="289"/>
      <c r="S24" s="289"/>
      <c r="T24" s="289"/>
      <c r="U24" s="289"/>
      <c r="V24" s="289"/>
      <c r="W24" s="289"/>
      <c r="X24" s="289"/>
    </row>
    <row r="25" spans="3:24" ht="15.75" customHeight="1">
      <c r="C25" s="328"/>
      <c r="D25" s="289"/>
      <c r="E25" s="289"/>
      <c r="F25" s="289"/>
      <c r="G25" s="289"/>
      <c r="H25" s="289"/>
      <c r="I25" s="289"/>
      <c r="J25" s="289"/>
      <c r="K25" s="289"/>
      <c r="L25" s="422"/>
      <c r="M25" s="289"/>
      <c r="N25" s="289"/>
      <c r="O25" s="289"/>
      <c r="P25" s="289"/>
      <c r="Q25" s="289"/>
      <c r="R25" s="289"/>
      <c r="S25" s="289"/>
      <c r="T25" s="289"/>
      <c r="U25" s="289"/>
      <c r="V25" s="289"/>
      <c r="W25" s="289"/>
      <c r="X25" s="289"/>
    </row>
    <row r="26" spans="3:24" ht="15.75" customHeight="1">
      <c r="C26" s="328"/>
      <c r="D26" s="289"/>
      <c r="E26" s="289"/>
      <c r="F26" s="289"/>
      <c r="G26" s="289"/>
      <c r="H26" s="289"/>
      <c r="I26" s="289"/>
      <c r="J26" s="289"/>
      <c r="K26" s="289"/>
      <c r="L26" s="422"/>
      <c r="M26" s="289"/>
      <c r="N26" s="289"/>
      <c r="O26" s="289"/>
      <c r="P26" s="289"/>
      <c r="Q26" s="289"/>
      <c r="R26" s="289"/>
      <c r="S26" s="289"/>
      <c r="T26" s="289"/>
      <c r="U26" s="289"/>
      <c r="V26" s="289"/>
      <c r="W26" s="289"/>
      <c r="X26" s="289"/>
    </row>
    <row r="27" spans="3:24" ht="15.75" customHeight="1">
      <c r="C27" s="328"/>
      <c r="D27" s="289"/>
      <c r="E27" s="289"/>
      <c r="F27" s="289"/>
      <c r="G27" s="289"/>
      <c r="H27" s="289"/>
      <c r="I27" s="289"/>
      <c r="J27" s="289"/>
      <c r="K27" s="289"/>
      <c r="L27" s="422"/>
      <c r="M27" s="289"/>
      <c r="N27" s="289"/>
      <c r="O27" s="289"/>
      <c r="P27" s="289"/>
      <c r="Q27" s="289"/>
      <c r="R27" s="289"/>
      <c r="S27" s="289"/>
      <c r="T27" s="289"/>
      <c r="U27" s="289"/>
      <c r="V27" s="289"/>
      <c r="W27" s="289"/>
      <c r="X27" s="289"/>
    </row>
    <row r="28" spans="3:24" ht="15.75" customHeight="1">
      <c r="C28" s="328"/>
      <c r="D28" s="289"/>
      <c r="E28" s="289"/>
      <c r="F28" s="289"/>
      <c r="G28" s="289"/>
      <c r="H28" s="289"/>
      <c r="I28" s="289"/>
      <c r="J28" s="289"/>
      <c r="K28" s="289"/>
      <c r="L28" s="422"/>
      <c r="M28" s="289"/>
      <c r="N28" s="289"/>
      <c r="O28" s="289"/>
      <c r="P28" s="289"/>
      <c r="Q28" s="289"/>
      <c r="R28" s="289"/>
      <c r="S28" s="289"/>
      <c r="T28" s="289"/>
      <c r="U28" s="289"/>
      <c r="V28" s="289"/>
      <c r="W28" s="289"/>
      <c r="X28" s="289"/>
    </row>
    <row r="29" spans="3:24" ht="15.75" customHeight="1">
      <c r="C29" s="328"/>
      <c r="D29" s="289"/>
      <c r="E29" s="289"/>
      <c r="F29" s="289"/>
      <c r="G29" s="289"/>
      <c r="H29" s="289"/>
      <c r="I29" s="289"/>
      <c r="J29" s="289"/>
      <c r="K29" s="289"/>
      <c r="L29" s="422"/>
      <c r="M29" s="289"/>
      <c r="N29" s="289"/>
      <c r="O29" s="289"/>
      <c r="P29" s="289"/>
      <c r="Q29" s="289"/>
      <c r="R29" s="289"/>
      <c r="S29" s="289"/>
      <c r="T29" s="289"/>
      <c r="U29" s="289"/>
      <c r="V29" s="289"/>
      <c r="W29" s="289"/>
      <c r="X29" s="289"/>
    </row>
    <row r="30" spans="3:24" ht="15.75" customHeight="1">
      <c r="C30" s="328"/>
      <c r="D30" s="289"/>
      <c r="E30" s="289"/>
      <c r="F30" s="289"/>
      <c r="G30" s="289"/>
      <c r="H30" s="289"/>
      <c r="I30" s="289"/>
      <c r="J30" s="289"/>
      <c r="K30" s="289"/>
      <c r="L30" s="422"/>
      <c r="M30" s="289"/>
      <c r="N30" s="289"/>
      <c r="O30" s="289"/>
      <c r="P30" s="289"/>
      <c r="Q30" s="289"/>
      <c r="R30" s="289"/>
      <c r="S30" s="289"/>
      <c r="T30" s="289"/>
      <c r="U30" s="289"/>
      <c r="V30" s="289"/>
      <c r="W30" s="289"/>
      <c r="X30" s="289"/>
    </row>
    <row r="31" spans="3:24" ht="15.75" customHeight="1">
      <c r="C31" s="328"/>
      <c r="D31" s="289"/>
      <c r="E31" s="289"/>
      <c r="F31" s="289"/>
      <c r="G31" s="289"/>
      <c r="H31" s="289"/>
      <c r="I31" s="289"/>
      <c r="J31" s="289"/>
      <c r="K31" s="289"/>
      <c r="L31" s="422"/>
      <c r="M31" s="289"/>
      <c r="N31" s="289"/>
      <c r="O31" s="289"/>
      <c r="P31" s="289"/>
      <c r="Q31" s="289"/>
      <c r="R31" s="289"/>
      <c r="S31" s="289"/>
      <c r="T31" s="289"/>
      <c r="U31" s="289"/>
      <c r="V31" s="289"/>
      <c r="W31" s="289"/>
      <c r="X31" s="289"/>
    </row>
    <row r="32" spans="3:24" ht="15.75" customHeight="1">
      <c r="C32" s="328"/>
      <c r="D32" s="289"/>
      <c r="E32" s="289"/>
      <c r="F32" s="289"/>
      <c r="G32" s="289"/>
      <c r="H32" s="289"/>
      <c r="I32" s="289"/>
      <c r="J32" s="289"/>
      <c r="K32" s="289"/>
      <c r="L32" s="422"/>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422"/>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422"/>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422"/>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422"/>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422"/>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422"/>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422"/>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422"/>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422"/>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422"/>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422"/>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422"/>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422"/>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422"/>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422"/>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422"/>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422"/>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422"/>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422"/>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422"/>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422"/>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422"/>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422"/>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422"/>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422"/>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422"/>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422"/>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422"/>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422"/>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422"/>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422"/>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422"/>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422"/>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422"/>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422"/>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422"/>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422"/>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422"/>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422"/>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422"/>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422"/>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422"/>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422"/>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422"/>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422"/>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422"/>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422"/>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422"/>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422"/>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422"/>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422"/>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422"/>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422"/>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422"/>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422"/>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422"/>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422"/>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422"/>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422"/>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422"/>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422"/>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422"/>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422"/>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422"/>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422"/>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422"/>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422"/>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422"/>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422"/>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422"/>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422"/>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422"/>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422"/>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422"/>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422"/>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422"/>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422"/>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422"/>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422"/>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422"/>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422"/>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422"/>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422"/>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422"/>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422"/>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422"/>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422"/>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422"/>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422"/>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422"/>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422"/>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422"/>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422"/>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422"/>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422"/>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422"/>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422"/>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422"/>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422"/>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422"/>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422"/>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422"/>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422"/>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422"/>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422"/>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422"/>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422"/>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422"/>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422"/>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422"/>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422"/>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422"/>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422"/>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422"/>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422"/>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422"/>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422"/>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422"/>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422"/>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422"/>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422"/>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422"/>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422"/>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422"/>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422"/>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422"/>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422"/>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422"/>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422"/>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422"/>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422"/>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422"/>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422"/>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422"/>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422"/>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422"/>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422"/>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422"/>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422"/>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422"/>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422"/>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422"/>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422"/>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422"/>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422"/>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422"/>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422"/>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422"/>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422"/>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422"/>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422"/>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422"/>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422"/>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422"/>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422"/>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422"/>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422"/>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422"/>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422"/>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422"/>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422"/>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422"/>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422"/>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422"/>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422"/>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422"/>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422"/>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422"/>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422"/>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422"/>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422"/>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422"/>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422"/>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422"/>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422"/>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422"/>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422"/>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422"/>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422"/>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422"/>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422"/>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422"/>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422"/>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422"/>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422"/>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422"/>
      <c r="M218" s="289"/>
      <c r="N218" s="289"/>
      <c r="O218" s="289"/>
      <c r="P218" s="289"/>
      <c r="Q218" s="289"/>
      <c r="R218" s="289"/>
      <c r="S218" s="289"/>
      <c r="T218" s="289"/>
      <c r="U218" s="289"/>
      <c r="V218" s="289"/>
      <c r="W218" s="289"/>
      <c r="X218" s="289"/>
    </row>
    <row r="219" spans="3:24" ht="15.75" customHeight="1"/>
    <row r="220" spans="3:24" ht="15.75" customHeight="1"/>
    <row r="221" spans="3:24" ht="15.75" customHeight="1"/>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1">
    <mergeCell ref="I8:I9"/>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X959"/>
  <sheetViews>
    <sheetView workbookViewId="0">
      <selection activeCell="F45" sqref="F45"/>
    </sheetView>
  </sheetViews>
  <sheetFormatPr defaultColWidth="12.5703125" defaultRowHeight="15" customHeight="1"/>
  <cols>
    <col min="1" max="1" width="5.7109375" customWidth="1"/>
    <col min="2" max="2" width="26.7109375" customWidth="1"/>
    <col min="3" max="3" width="13.5703125" customWidth="1"/>
    <col min="4" max="4" width="12.5703125" customWidth="1"/>
    <col min="5" max="6" width="13.42578125" customWidth="1"/>
    <col min="7" max="7" width="12.7109375" customWidth="1"/>
    <col min="8" max="8" width="2.42578125" customWidth="1"/>
    <col min="9" max="9" width="49.140625" customWidth="1"/>
    <col min="10" max="10" width="2.7109375" customWidth="1"/>
    <col min="11" max="11" width="10.42578125" customWidth="1"/>
    <col min="12" max="12" width="11.42578125" customWidth="1"/>
    <col min="13" max="13" width="11" customWidth="1"/>
    <col min="14" max="15" width="10.42578125" customWidth="1"/>
    <col min="16" max="16" width="10" customWidth="1"/>
    <col min="17" max="17" width="10.140625" customWidth="1"/>
    <col min="18" max="18" width="11" customWidth="1"/>
    <col min="19" max="19" width="10.85546875" customWidth="1"/>
    <col min="20" max="20" width="10.42578125" customWidth="1"/>
    <col min="21" max="21" width="10.5703125" customWidth="1"/>
    <col min="22" max="22" width="9.5703125" customWidth="1"/>
    <col min="23" max="23" width="3.5703125" customWidth="1"/>
    <col min="24" max="24" width="13.140625" customWidth="1"/>
  </cols>
  <sheetData>
    <row r="1" spans="1:24" ht="15.75" customHeight="1">
      <c r="A1" s="128" t="s">
        <v>122</v>
      </c>
      <c r="B1" s="129"/>
      <c r="C1" s="292"/>
      <c r="D1" s="132"/>
      <c r="E1" s="132"/>
      <c r="F1" s="132"/>
      <c r="G1" s="132"/>
      <c r="H1" s="132"/>
      <c r="I1" s="132"/>
      <c r="J1" s="132"/>
      <c r="K1" s="132"/>
      <c r="L1" s="130"/>
      <c r="M1" s="129"/>
      <c r="N1" s="129"/>
      <c r="O1" s="129"/>
      <c r="P1" s="129"/>
      <c r="Q1" s="129"/>
      <c r="R1" s="129"/>
      <c r="S1" s="131"/>
      <c r="T1" s="131"/>
      <c r="U1" s="129"/>
      <c r="V1" s="129"/>
      <c r="W1" s="132"/>
      <c r="X1" s="103"/>
    </row>
    <row r="2" spans="1:24" ht="15.75" customHeight="1">
      <c r="A2" s="128" t="s">
        <v>297</v>
      </c>
      <c r="B2" s="129"/>
      <c r="C2" s="292"/>
      <c r="D2" s="132"/>
      <c r="E2" s="132"/>
      <c r="F2" s="132"/>
      <c r="G2" s="132"/>
      <c r="H2" s="132"/>
      <c r="I2" s="132"/>
      <c r="J2" s="132"/>
      <c r="K2" s="132"/>
      <c r="L2" s="129"/>
      <c r="M2" s="129"/>
      <c r="N2" s="129"/>
      <c r="O2" s="129"/>
      <c r="P2" s="129"/>
      <c r="Q2" s="129"/>
      <c r="R2" s="129"/>
      <c r="S2" s="129"/>
      <c r="T2" s="129"/>
      <c r="U2" s="129"/>
      <c r="V2" s="129"/>
      <c r="W2" s="132"/>
      <c r="X2" s="103"/>
    </row>
    <row r="3" spans="1:24" ht="15.75" customHeight="1">
      <c r="A3" s="293"/>
      <c r="B3" s="294"/>
      <c r="C3" s="292"/>
      <c r="D3" s="132"/>
      <c r="E3" s="132"/>
      <c r="F3" s="132"/>
      <c r="G3" s="132"/>
      <c r="H3" s="132"/>
      <c r="I3" s="132"/>
      <c r="J3" s="132"/>
      <c r="K3" s="132"/>
      <c r="L3" s="160"/>
      <c r="M3" s="160"/>
      <c r="N3" s="160"/>
      <c r="O3" s="295"/>
      <c r="P3" s="160"/>
      <c r="Q3" s="160"/>
      <c r="R3" s="160"/>
      <c r="S3" s="160"/>
      <c r="T3" s="160"/>
      <c r="U3" s="160"/>
      <c r="V3" s="160"/>
      <c r="W3" s="132"/>
      <c r="X3" s="103"/>
    </row>
    <row r="4" spans="1:24" ht="15.75" customHeight="1">
      <c r="A4" s="128"/>
      <c r="B4" s="129"/>
      <c r="C4" s="292"/>
      <c r="D4" s="136"/>
      <c r="E4" s="136"/>
      <c r="F4" s="136"/>
      <c r="G4" s="136"/>
      <c r="H4" s="136"/>
      <c r="I4" s="136"/>
      <c r="J4" s="136"/>
      <c r="K4" s="136"/>
      <c r="L4" s="596"/>
      <c r="M4" s="581"/>
      <c r="N4" s="581"/>
      <c r="O4" s="581"/>
      <c r="P4" s="596"/>
      <c r="Q4" s="581"/>
      <c r="R4" s="581"/>
      <c r="S4" s="296"/>
      <c r="T4" s="296"/>
      <c r="U4" s="296"/>
      <c r="V4" s="296"/>
      <c r="W4" s="136"/>
      <c r="X4" s="297"/>
    </row>
    <row r="5" spans="1:24" ht="36.75" customHeight="1">
      <c r="A5" s="128" t="s">
        <v>126</v>
      </c>
      <c r="B5" s="129"/>
      <c r="C5" s="137" t="s">
        <v>127</v>
      </c>
      <c r="D5" s="140" t="s">
        <v>128</v>
      </c>
      <c r="E5" s="140" t="s">
        <v>129</v>
      </c>
      <c r="F5" s="140" t="s">
        <v>130</v>
      </c>
      <c r="G5" s="140" t="s">
        <v>131</v>
      </c>
      <c r="H5" s="298"/>
      <c r="I5" s="299" t="s">
        <v>298</v>
      </c>
      <c r="J5" s="298"/>
      <c r="K5" s="142">
        <v>45474</v>
      </c>
      <c r="L5" s="142">
        <v>45505</v>
      </c>
      <c r="M5" s="142">
        <v>45536</v>
      </c>
      <c r="N5" s="142">
        <v>45566</v>
      </c>
      <c r="O5" s="142">
        <v>45597</v>
      </c>
      <c r="P5" s="142">
        <v>45627</v>
      </c>
      <c r="Q5" s="142">
        <v>45658</v>
      </c>
      <c r="R5" s="142">
        <v>45689</v>
      </c>
      <c r="S5" s="142">
        <v>45717</v>
      </c>
      <c r="T5" s="142">
        <v>45748</v>
      </c>
      <c r="U5" s="142">
        <v>45778</v>
      </c>
      <c r="V5" s="142">
        <v>45809</v>
      </c>
      <c r="W5" s="300"/>
      <c r="X5" s="144" t="s">
        <v>132</v>
      </c>
    </row>
    <row r="6" spans="1:24" ht="15.75" customHeight="1">
      <c r="A6" s="129"/>
      <c r="B6" s="129"/>
      <c r="C6" s="292">
        <v>0</v>
      </c>
      <c r="D6" s="210">
        <v>0</v>
      </c>
      <c r="E6" s="210"/>
      <c r="F6" s="210"/>
      <c r="G6" s="147">
        <f>F6-C6</f>
        <v>0</v>
      </c>
      <c r="H6" s="249"/>
      <c r="I6" s="210"/>
      <c r="J6" s="249"/>
      <c r="K6" s="214"/>
      <c r="L6" s="214"/>
      <c r="M6" s="214"/>
      <c r="N6" s="214"/>
      <c r="O6" s="214"/>
      <c r="P6" s="214"/>
      <c r="Q6" s="214"/>
      <c r="R6" s="214"/>
      <c r="S6" s="214"/>
      <c r="T6" s="214"/>
      <c r="U6" s="214"/>
      <c r="V6" s="214"/>
      <c r="W6" s="301"/>
      <c r="X6" s="144">
        <f t="shared" ref="X6:X7" si="0">SUM(K6:V6)</f>
        <v>0</v>
      </c>
    </row>
    <row r="7" spans="1:24" ht="15.75" customHeight="1">
      <c r="A7" s="128" t="s">
        <v>153</v>
      </c>
      <c r="B7" s="128"/>
      <c r="C7" s="302">
        <f t="shared" ref="C7:D7" si="1">SUM(C6)</f>
        <v>0</v>
      </c>
      <c r="D7" s="303">
        <f t="shared" si="1"/>
        <v>0</v>
      </c>
      <c r="E7" s="303"/>
      <c r="F7" s="303">
        <f t="shared" ref="F7:G7" si="2">SUM(F6)</f>
        <v>0</v>
      </c>
      <c r="G7" s="303">
        <f t="shared" si="2"/>
        <v>0</v>
      </c>
      <c r="H7" s="192"/>
      <c r="I7" s="229"/>
      <c r="J7" s="192"/>
      <c r="K7" s="279">
        <f t="shared" ref="K7:V7" si="3">SUM(K6)</f>
        <v>0</v>
      </c>
      <c r="L7" s="279">
        <f t="shared" si="3"/>
        <v>0</v>
      </c>
      <c r="M7" s="279">
        <f t="shared" si="3"/>
        <v>0</v>
      </c>
      <c r="N7" s="279">
        <f t="shared" si="3"/>
        <v>0</v>
      </c>
      <c r="O7" s="279">
        <f t="shared" si="3"/>
        <v>0</v>
      </c>
      <c r="P7" s="279">
        <f t="shared" si="3"/>
        <v>0</v>
      </c>
      <c r="Q7" s="279">
        <f t="shared" si="3"/>
        <v>0</v>
      </c>
      <c r="R7" s="279">
        <f t="shared" si="3"/>
        <v>0</v>
      </c>
      <c r="S7" s="279">
        <f t="shared" si="3"/>
        <v>0</v>
      </c>
      <c r="T7" s="279">
        <f t="shared" si="3"/>
        <v>0</v>
      </c>
      <c r="U7" s="279">
        <f t="shared" si="3"/>
        <v>0</v>
      </c>
      <c r="V7" s="279">
        <f t="shared" si="3"/>
        <v>0</v>
      </c>
      <c r="W7" s="300"/>
      <c r="X7" s="144">
        <f t="shared" si="0"/>
        <v>0</v>
      </c>
    </row>
    <row r="8" spans="1:24" ht="15.75" customHeight="1">
      <c r="A8" s="128"/>
      <c r="B8" s="129"/>
      <c r="C8" s="292"/>
      <c r="D8" s="198"/>
      <c r="E8" s="198"/>
      <c r="F8" s="198"/>
      <c r="G8" s="198"/>
      <c r="H8" s="198"/>
      <c r="I8" s="198"/>
      <c r="J8" s="198"/>
      <c r="K8" s="198"/>
      <c r="L8" s="295"/>
      <c r="M8" s="295"/>
      <c r="N8" s="295"/>
      <c r="O8" s="295"/>
      <c r="P8" s="295"/>
      <c r="Q8" s="295"/>
      <c r="R8" s="295"/>
      <c r="S8" s="295"/>
      <c r="T8" s="295"/>
      <c r="U8" s="295"/>
      <c r="V8" s="295"/>
      <c r="W8" s="198"/>
      <c r="X8" s="304"/>
    </row>
    <row r="9" spans="1:24" ht="37.5" customHeight="1">
      <c r="A9" s="128" t="s">
        <v>154</v>
      </c>
      <c r="B9" s="129"/>
      <c r="C9" s="137" t="s">
        <v>127</v>
      </c>
      <c r="D9" s="140" t="s">
        <v>128</v>
      </c>
      <c r="E9" s="140" t="s">
        <v>129</v>
      </c>
      <c r="F9" s="140" t="s">
        <v>130</v>
      </c>
      <c r="G9" s="140" t="s">
        <v>131</v>
      </c>
      <c r="H9" s="305"/>
      <c r="I9" s="306"/>
      <c r="J9" s="141"/>
      <c r="K9" s="142">
        <v>45474</v>
      </c>
      <c r="L9" s="142">
        <v>45505</v>
      </c>
      <c r="M9" s="142">
        <v>45536</v>
      </c>
      <c r="N9" s="142">
        <v>45566</v>
      </c>
      <c r="O9" s="142">
        <v>45597</v>
      </c>
      <c r="P9" s="142">
        <v>45627</v>
      </c>
      <c r="Q9" s="142">
        <v>45658</v>
      </c>
      <c r="R9" s="142">
        <v>45689</v>
      </c>
      <c r="S9" s="142">
        <v>45717</v>
      </c>
      <c r="T9" s="142">
        <v>45748</v>
      </c>
      <c r="U9" s="142">
        <v>45778</v>
      </c>
      <c r="V9" s="307">
        <v>45809</v>
      </c>
      <c r="W9" s="308"/>
      <c r="X9" s="309" t="s">
        <v>132</v>
      </c>
    </row>
    <row r="10" spans="1:24" ht="15.75" customHeight="1">
      <c r="A10" s="232"/>
      <c r="B10" s="232" t="s">
        <v>299</v>
      </c>
      <c r="C10" s="310">
        <f t="shared" ref="C10:F10" si="4">SUM(C11:C14)</f>
        <v>15000</v>
      </c>
      <c r="D10" s="310">
        <f t="shared" si="4"/>
        <v>0</v>
      </c>
      <c r="E10" s="310">
        <f t="shared" si="4"/>
        <v>0</v>
      </c>
      <c r="F10" s="310">
        <f t="shared" si="4"/>
        <v>29000</v>
      </c>
      <c r="G10" s="311">
        <f t="shared" ref="G10:G14" si="5">F10-C10</f>
        <v>14000</v>
      </c>
      <c r="H10" s="312"/>
      <c r="I10" s="313"/>
      <c r="J10" s="219"/>
      <c r="K10" s="225">
        <f t="shared" ref="K10:V10" si="6">SUM(K11:K14)</f>
        <v>10000</v>
      </c>
      <c r="L10" s="225">
        <f t="shared" si="6"/>
        <v>700</v>
      </c>
      <c r="M10" s="225">
        <f t="shared" si="6"/>
        <v>700</v>
      </c>
      <c r="N10" s="225">
        <f t="shared" si="6"/>
        <v>700</v>
      </c>
      <c r="O10" s="225">
        <f t="shared" si="6"/>
        <v>5700</v>
      </c>
      <c r="P10" s="225">
        <f t="shared" si="6"/>
        <v>5700</v>
      </c>
      <c r="Q10" s="225">
        <f t="shared" si="6"/>
        <v>700</v>
      </c>
      <c r="R10" s="225">
        <f t="shared" si="6"/>
        <v>700</v>
      </c>
      <c r="S10" s="225">
        <f t="shared" si="6"/>
        <v>700</v>
      </c>
      <c r="T10" s="225">
        <f t="shared" si="6"/>
        <v>1700</v>
      </c>
      <c r="U10" s="225">
        <f t="shared" si="6"/>
        <v>1700</v>
      </c>
      <c r="V10" s="225">
        <f t="shared" si="6"/>
        <v>0</v>
      </c>
      <c r="W10" s="143"/>
      <c r="X10" s="225">
        <f>SUM(X11:X14)</f>
        <v>29000</v>
      </c>
    </row>
    <row r="11" spans="1:24" ht="15.75" customHeight="1">
      <c r="A11" s="128"/>
      <c r="B11" s="132" t="s">
        <v>257</v>
      </c>
      <c r="C11" s="166">
        <v>2000</v>
      </c>
      <c r="D11" s="67">
        <v>0</v>
      </c>
      <c r="E11" s="67">
        <v>0</v>
      </c>
      <c r="F11" s="67">
        <v>2000</v>
      </c>
      <c r="G11" s="314">
        <f t="shared" si="5"/>
        <v>0</v>
      </c>
      <c r="H11" s="315"/>
      <c r="I11" s="316"/>
      <c r="J11" s="317"/>
      <c r="K11" s="318"/>
      <c r="L11" s="319">
        <f t="shared" ref="L11:U11" si="7">2000/10</f>
        <v>200</v>
      </c>
      <c r="M11" s="319">
        <f t="shared" si="7"/>
        <v>200</v>
      </c>
      <c r="N11" s="319">
        <f t="shared" si="7"/>
        <v>200</v>
      </c>
      <c r="O11" s="319">
        <f t="shared" si="7"/>
        <v>200</v>
      </c>
      <c r="P11" s="319">
        <f t="shared" si="7"/>
        <v>200</v>
      </c>
      <c r="Q11" s="319">
        <f t="shared" si="7"/>
        <v>200</v>
      </c>
      <c r="R11" s="319">
        <f t="shared" si="7"/>
        <v>200</v>
      </c>
      <c r="S11" s="319">
        <f t="shared" si="7"/>
        <v>200</v>
      </c>
      <c r="T11" s="319">
        <f t="shared" si="7"/>
        <v>200</v>
      </c>
      <c r="U11" s="319">
        <f t="shared" si="7"/>
        <v>200</v>
      </c>
      <c r="V11" s="319"/>
      <c r="W11" s="143"/>
      <c r="X11" s="309">
        <f t="shared" ref="X11:X14" si="8">SUM(K11:V11)</f>
        <v>2000</v>
      </c>
    </row>
    <row r="12" spans="1:24" ht="15.75" customHeight="1">
      <c r="A12" s="128"/>
      <c r="B12" s="132" t="s">
        <v>272</v>
      </c>
      <c r="C12" s="166">
        <f>15000-2000</f>
        <v>13000</v>
      </c>
      <c r="D12" s="67">
        <v>0</v>
      </c>
      <c r="E12" s="67">
        <v>0</v>
      </c>
      <c r="F12" s="67">
        <f>10000+2000</f>
        <v>12000</v>
      </c>
      <c r="G12" s="314">
        <f t="shared" si="5"/>
        <v>-1000</v>
      </c>
      <c r="H12" s="315"/>
      <c r="I12" s="316" t="s">
        <v>300</v>
      </c>
      <c r="J12" s="317"/>
      <c r="K12" s="318"/>
      <c r="L12" s="319"/>
      <c r="M12" s="319"/>
      <c r="N12" s="319"/>
      <c r="O12" s="319">
        <v>5000</v>
      </c>
      <c r="P12" s="319">
        <v>5000</v>
      </c>
      <c r="Q12" s="319"/>
      <c r="R12" s="319"/>
      <c r="S12" s="319"/>
      <c r="T12" s="319">
        <v>1000</v>
      </c>
      <c r="U12" s="319">
        <v>1000</v>
      </c>
      <c r="V12" s="319"/>
      <c r="W12" s="143"/>
      <c r="X12" s="309">
        <f t="shared" si="8"/>
        <v>12000</v>
      </c>
    </row>
    <row r="13" spans="1:24" ht="15.75" customHeight="1">
      <c r="A13" s="128"/>
      <c r="B13" s="132" t="s">
        <v>253</v>
      </c>
      <c r="C13" s="155">
        <v>0</v>
      </c>
      <c r="D13" s="67"/>
      <c r="E13" s="67">
        <v>0</v>
      </c>
      <c r="F13" s="67">
        <v>10000</v>
      </c>
      <c r="G13" s="314">
        <f t="shared" si="5"/>
        <v>10000</v>
      </c>
      <c r="H13" s="315"/>
      <c r="I13" s="316" t="s">
        <v>300</v>
      </c>
      <c r="J13" s="317"/>
      <c r="K13" s="318">
        <v>10000</v>
      </c>
      <c r="L13" s="319"/>
      <c r="M13" s="319"/>
      <c r="N13" s="319"/>
      <c r="O13" s="319"/>
      <c r="P13" s="319"/>
      <c r="Q13" s="319"/>
      <c r="R13" s="319"/>
      <c r="S13" s="319"/>
      <c r="T13" s="319"/>
      <c r="U13" s="319"/>
      <c r="V13" s="319"/>
      <c r="W13" s="143"/>
      <c r="X13" s="309">
        <f t="shared" si="8"/>
        <v>10000</v>
      </c>
    </row>
    <row r="14" spans="1:24" ht="15.75" customHeight="1">
      <c r="A14" s="128"/>
      <c r="B14" s="207" t="s">
        <v>301</v>
      </c>
      <c r="C14" s="320">
        <v>0</v>
      </c>
      <c r="D14" s="67">
        <v>0</v>
      </c>
      <c r="E14" s="67">
        <v>0</v>
      </c>
      <c r="F14" s="67">
        <v>5000</v>
      </c>
      <c r="G14" s="314">
        <f t="shared" si="5"/>
        <v>5000</v>
      </c>
      <c r="H14" s="315"/>
      <c r="I14" s="316"/>
      <c r="J14" s="317"/>
      <c r="K14" s="318"/>
      <c r="L14" s="319">
        <f t="shared" ref="L14:U14" si="9">5000/10</f>
        <v>500</v>
      </c>
      <c r="M14" s="319">
        <f t="shared" si="9"/>
        <v>500</v>
      </c>
      <c r="N14" s="319">
        <f t="shared" si="9"/>
        <v>500</v>
      </c>
      <c r="O14" s="319">
        <f t="shared" si="9"/>
        <v>500</v>
      </c>
      <c r="P14" s="319">
        <f t="shared" si="9"/>
        <v>500</v>
      </c>
      <c r="Q14" s="319">
        <f t="shared" si="9"/>
        <v>500</v>
      </c>
      <c r="R14" s="319">
        <f t="shared" si="9"/>
        <v>500</v>
      </c>
      <c r="S14" s="319">
        <f t="shared" si="9"/>
        <v>500</v>
      </c>
      <c r="T14" s="319">
        <f t="shared" si="9"/>
        <v>500</v>
      </c>
      <c r="U14" s="319">
        <f t="shared" si="9"/>
        <v>500</v>
      </c>
      <c r="V14" s="319"/>
      <c r="W14" s="143"/>
      <c r="X14" s="309">
        <f t="shared" si="8"/>
        <v>5000</v>
      </c>
    </row>
    <row r="15" spans="1:24" ht="15.75" customHeight="1">
      <c r="A15" s="128" t="s">
        <v>302</v>
      </c>
      <c r="B15" s="128"/>
      <c r="C15" s="321">
        <f t="shared" ref="C15:G15" si="10">C10</f>
        <v>15000</v>
      </c>
      <c r="D15" s="321">
        <f t="shared" si="10"/>
        <v>0</v>
      </c>
      <c r="E15" s="321">
        <f t="shared" si="10"/>
        <v>0</v>
      </c>
      <c r="F15" s="321">
        <f t="shared" si="10"/>
        <v>29000</v>
      </c>
      <c r="G15" s="322">
        <f t="shared" si="10"/>
        <v>14000</v>
      </c>
      <c r="H15" s="312"/>
      <c r="I15" s="314"/>
      <c r="J15" s="219"/>
      <c r="K15" s="323">
        <f t="shared" ref="K15:V15" si="11">K10</f>
        <v>10000</v>
      </c>
      <c r="L15" s="323">
        <f t="shared" si="11"/>
        <v>700</v>
      </c>
      <c r="M15" s="323">
        <f t="shared" si="11"/>
        <v>700</v>
      </c>
      <c r="N15" s="323">
        <f t="shared" si="11"/>
        <v>700</v>
      </c>
      <c r="O15" s="323">
        <f t="shared" si="11"/>
        <v>5700</v>
      </c>
      <c r="P15" s="323">
        <f t="shared" si="11"/>
        <v>5700</v>
      </c>
      <c r="Q15" s="323">
        <f t="shared" si="11"/>
        <v>700</v>
      </c>
      <c r="R15" s="323">
        <f t="shared" si="11"/>
        <v>700</v>
      </c>
      <c r="S15" s="323">
        <f t="shared" si="11"/>
        <v>700</v>
      </c>
      <c r="T15" s="323">
        <f t="shared" si="11"/>
        <v>1700</v>
      </c>
      <c r="U15" s="323">
        <f t="shared" si="11"/>
        <v>1700</v>
      </c>
      <c r="V15" s="323">
        <f t="shared" si="11"/>
        <v>0</v>
      </c>
      <c r="W15" s="324"/>
      <c r="X15" s="323">
        <f>X10</f>
        <v>29000</v>
      </c>
    </row>
    <row r="16" spans="1:24" ht="15.75" customHeight="1">
      <c r="A16" s="129"/>
      <c r="B16" s="129"/>
      <c r="C16" s="292"/>
      <c r="D16" s="198"/>
      <c r="E16" s="198"/>
      <c r="F16" s="198"/>
      <c r="G16" s="198"/>
      <c r="H16" s="198"/>
      <c r="I16" s="198"/>
      <c r="J16" s="198"/>
      <c r="K16" s="198"/>
      <c r="L16" s="196"/>
      <c r="M16" s="196"/>
      <c r="N16" s="196"/>
      <c r="O16" s="196"/>
      <c r="P16" s="196"/>
      <c r="Q16" s="196"/>
      <c r="R16" s="196"/>
      <c r="S16" s="196"/>
      <c r="T16" s="196"/>
      <c r="U16" s="196"/>
      <c r="V16" s="196"/>
      <c r="W16" s="275"/>
      <c r="X16" s="325"/>
    </row>
    <row r="17" spans="1:24" ht="15.75" hidden="1" customHeight="1">
      <c r="A17" s="276" t="s">
        <v>291</v>
      </c>
      <c r="B17" s="129"/>
      <c r="C17" s="292"/>
      <c r="D17" s="210"/>
      <c r="E17" s="210"/>
      <c r="F17" s="210"/>
      <c r="G17" s="210"/>
      <c r="H17" s="210"/>
      <c r="I17" s="210"/>
      <c r="J17" s="210"/>
      <c r="K17" s="326">
        <f t="shared" ref="K17:V17" si="12">K7-K15</f>
        <v>-10000</v>
      </c>
      <c r="L17" s="278">
        <f t="shared" si="12"/>
        <v>-700</v>
      </c>
      <c r="M17" s="278">
        <f t="shared" si="12"/>
        <v>-700</v>
      </c>
      <c r="N17" s="278">
        <f t="shared" si="12"/>
        <v>-700</v>
      </c>
      <c r="O17" s="278">
        <f t="shared" si="12"/>
        <v>-5700</v>
      </c>
      <c r="P17" s="278">
        <f t="shared" si="12"/>
        <v>-5700</v>
      </c>
      <c r="Q17" s="278">
        <f t="shared" si="12"/>
        <v>-700</v>
      </c>
      <c r="R17" s="278">
        <f t="shared" si="12"/>
        <v>-700</v>
      </c>
      <c r="S17" s="278">
        <f t="shared" si="12"/>
        <v>-700</v>
      </c>
      <c r="T17" s="278">
        <f t="shared" si="12"/>
        <v>-1700</v>
      </c>
      <c r="U17" s="278">
        <f t="shared" si="12"/>
        <v>-1700</v>
      </c>
      <c r="V17" s="278">
        <f t="shared" si="12"/>
        <v>0</v>
      </c>
      <c r="W17" s="279"/>
      <c r="X17" s="327"/>
    </row>
    <row r="18" spans="1:24" ht="15.75" hidden="1" customHeight="1">
      <c r="A18" s="128"/>
      <c r="B18" s="129"/>
      <c r="C18" s="292"/>
      <c r="D18" s="132"/>
      <c r="E18" s="132"/>
      <c r="F18" s="132"/>
      <c r="G18" s="132"/>
      <c r="H18" s="132"/>
      <c r="I18" s="132"/>
      <c r="J18" s="132"/>
      <c r="K18" s="132"/>
      <c r="L18" s="129"/>
      <c r="M18" s="129"/>
      <c r="N18" s="129"/>
      <c r="O18" s="129"/>
      <c r="P18" s="129"/>
      <c r="Q18" s="129"/>
      <c r="R18" s="129"/>
      <c r="S18" s="129"/>
      <c r="T18" s="129"/>
      <c r="U18" s="129"/>
      <c r="V18" s="129"/>
      <c r="W18" s="275"/>
      <c r="X18" s="325"/>
    </row>
    <row r="19" spans="1:24" ht="15.75" hidden="1" customHeight="1">
      <c r="C19" s="328"/>
      <c r="D19" s="289"/>
      <c r="E19" s="289"/>
      <c r="F19" s="289"/>
      <c r="G19" s="289"/>
      <c r="H19" s="289"/>
      <c r="I19" s="289"/>
      <c r="J19" s="289"/>
      <c r="K19" s="289"/>
      <c r="L19" s="289"/>
      <c r="M19" s="289"/>
      <c r="N19" s="289"/>
      <c r="O19" s="289"/>
      <c r="P19" s="289"/>
      <c r="Q19" s="289"/>
      <c r="R19" s="289"/>
      <c r="S19" s="289"/>
      <c r="T19" s="289"/>
      <c r="U19" s="289"/>
      <c r="V19" s="289"/>
      <c r="X19" s="329"/>
    </row>
    <row r="20" spans="1:24" ht="15.75" hidden="1" customHeight="1">
      <c r="C20" s="328"/>
      <c r="D20" s="289"/>
      <c r="E20" s="289"/>
      <c r="F20" s="289"/>
      <c r="G20" s="289"/>
      <c r="H20" s="289"/>
      <c r="I20" s="289"/>
      <c r="J20" s="289"/>
      <c r="K20" s="289"/>
      <c r="L20" s="289"/>
      <c r="M20" s="289"/>
      <c r="N20" s="289"/>
      <c r="O20" s="289"/>
      <c r="P20" s="289"/>
      <c r="Q20" s="289"/>
      <c r="R20" s="289"/>
      <c r="S20" s="291"/>
      <c r="T20" s="289"/>
      <c r="U20" s="289"/>
      <c r="V20" s="289"/>
      <c r="X20" s="329"/>
    </row>
    <row r="21" spans="1:24" ht="15.75" hidden="1" customHeight="1">
      <c r="C21" s="328"/>
      <c r="D21" s="289"/>
      <c r="E21" s="289"/>
      <c r="F21" s="289"/>
      <c r="G21" s="289"/>
      <c r="H21" s="289"/>
      <c r="I21" s="289"/>
      <c r="J21" s="289"/>
      <c r="K21" s="289"/>
      <c r="L21" s="289"/>
      <c r="M21" s="289"/>
      <c r="N21" s="289"/>
      <c r="O21" s="289"/>
      <c r="P21" s="289"/>
      <c r="Q21" s="289"/>
      <c r="R21" s="289"/>
      <c r="S21" s="289"/>
      <c r="T21" s="289"/>
      <c r="U21" s="289"/>
      <c r="V21" s="289"/>
      <c r="X21" s="329"/>
    </row>
    <row r="22" spans="1:24" ht="15.75" hidden="1" customHeight="1">
      <c r="C22" s="328"/>
      <c r="D22" s="289"/>
      <c r="E22" s="289"/>
      <c r="F22" s="289"/>
      <c r="G22" s="289"/>
      <c r="H22" s="289"/>
      <c r="I22" s="289"/>
      <c r="J22" s="289"/>
      <c r="K22" s="289"/>
      <c r="L22" s="289"/>
      <c r="M22" s="289"/>
      <c r="N22" s="289"/>
      <c r="O22" s="289"/>
      <c r="P22" s="289"/>
      <c r="Q22" s="289"/>
      <c r="R22" s="289"/>
      <c r="S22" s="289"/>
      <c r="T22" s="289"/>
      <c r="U22" s="289"/>
      <c r="V22" s="289"/>
      <c r="X22" s="329"/>
    </row>
    <row r="23" spans="1:24" ht="15.75" hidden="1" customHeight="1">
      <c r="C23" s="328"/>
      <c r="D23" s="289"/>
      <c r="E23" s="289"/>
      <c r="F23" s="289"/>
      <c r="G23" s="289"/>
      <c r="H23" s="289"/>
      <c r="I23" s="289"/>
      <c r="J23" s="289"/>
      <c r="K23" s="289"/>
      <c r="L23" s="289"/>
      <c r="M23" s="289"/>
      <c r="N23" s="289"/>
      <c r="O23" s="289"/>
      <c r="P23" s="289"/>
      <c r="Q23" s="289"/>
      <c r="R23" s="289"/>
      <c r="S23" s="289"/>
      <c r="T23" s="289"/>
      <c r="U23" s="289"/>
      <c r="V23" s="289"/>
      <c r="X23" s="329"/>
    </row>
    <row r="24" spans="1:24" ht="15.75" hidden="1" customHeight="1">
      <c r="C24" s="328"/>
      <c r="D24" s="289"/>
      <c r="E24" s="289"/>
      <c r="F24" s="289"/>
      <c r="G24" s="289"/>
      <c r="H24" s="289"/>
      <c r="I24" s="289"/>
      <c r="J24" s="289"/>
      <c r="K24" s="289"/>
      <c r="L24" s="289"/>
      <c r="M24" s="289"/>
      <c r="N24" s="289"/>
      <c r="O24" s="289"/>
      <c r="P24" s="289"/>
      <c r="Q24" s="289"/>
      <c r="R24" s="289"/>
      <c r="S24" s="289"/>
      <c r="T24" s="289"/>
      <c r="U24" s="289"/>
      <c r="V24" s="289"/>
      <c r="X24" s="329"/>
    </row>
    <row r="25" spans="1:24" ht="15.75" hidden="1" customHeight="1">
      <c r="C25" s="328"/>
      <c r="D25" s="289"/>
      <c r="E25" s="289"/>
      <c r="F25" s="289"/>
      <c r="G25" s="289"/>
      <c r="H25" s="289"/>
      <c r="I25" s="289"/>
      <c r="J25" s="289"/>
      <c r="K25" s="289"/>
      <c r="L25" s="289"/>
      <c r="M25" s="289"/>
      <c r="N25" s="289"/>
      <c r="O25" s="289"/>
      <c r="P25" s="289"/>
      <c r="Q25" s="289"/>
      <c r="R25" s="289"/>
      <c r="S25" s="289"/>
      <c r="T25" s="289"/>
      <c r="U25" s="289"/>
      <c r="V25" s="289"/>
      <c r="X25" s="329"/>
    </row>
    <row r="26" spans="1:24" ht="15.75" customHeight="1">
      <c r="C26" s="328"/>
      <c r="D26" s="289"/>
      <c r="E26" s="289"/>
      <c r="F26" s="289"/>
      <c r="G26" s="289"/>
      <c r="H26" s="289"/>
      <c r="I26" s="289"/>
      <c r="J26" s="289"/>
      <c r="K26" s="289"/>
      <c r="L26" s="289"/>
      <c r="M26" s="289"/>
      <c r="N26" s="289"/>
      <c r="O26" s="289"/>
      <c r="P26" s="289"/>
      <c r="Q26" s="289"/>
      <c r="R26" s="289"/>
      <c r="S26" s="289"/>
      <c r="T26" s="289"/>
      <c r="U26" s="289"/>
      <c r="V26" s="289"/>
      <c r="X26" s="329"/>
    </row>
    <row r="27" spans="1:24" ht="15.75" customHeight="1">
      <c r="C27" s="328"/>
      <c r="D27" s="289"/>
      <c r="E27" s="289"/>
      <c r="F27" s="289"/>
      <c r="G27" s="289"/>
      <c r="H27" s="289"/>
      <c r="I27" s="289"/>
      <c r="J27" s="289"/>
      <c r="K27" s="289"/>
      <c r="L27" s="289"/>
      <c r="M27" s="289"/>
      <c r="N27" s="289"/>
      <c r="O27" s="289"/>
      <c r="P27" s="289"/>
      <c r="Q27" s="289"/>
      <c r="R27" s="289"/>
      <c r="S27" s="289"/>
      <c r="T27" s="289"/>
      <c r="U27" s="289"/>
      <c r="V27" s="289"/>
      <c r="X27" s="329"/>
    </row>
    <row r="28" spans="1:24" ht="15.75" customHeight="1">
      <c r="C28" s="328"/>
      <c r="D28" s="289"/>
      <c r="E28" s="289"/>
      <c r="F28" s="289"/>
      <c r="G28" s="289"/>
      <c r="H28" s="289"/>
      <c r="I28" s="289"/>
      <c r="J28" s="289"/>
      <c r="K28" s="289"/>
      <c r="L28" s="289"/>
      <c r="M28" s="289"/>
      <c r="N28" s="289"/>
      <c r="O28" s="289"/>
      <c r="P28" s="289"/>
      <c r="Q28" s="289"/>
      <c r="R28" s="289"/>
      <c r="S28" s="289"/>
      <c r="T28" s="289"/>
      <c r="U28" s="289"/>
      <c r="V28" s="289"/>
      <c r="X28" s="329"/>
    </row>
    <row r="29" spans="1:24" ht="15.75" customHeight="1">
      <c r="C29" s="328"/>
      <c r="D29" s="289"/>
      <c r="E29" s="289"/>
      <c r="F29" s="289"/>
      <c r="G29" s="289"/>
      <c r="H29" s="289"/>
      <c r="I29" s="289"/>
      <c r="J29" s="289"/>
      <c r="K29" s="289"/>
      <c r="L29" s="289"/>
      <c r="M29" s="289"/>
      <c r="N29" s="289"/>
      <c r="O29" s="289"/>
      <c r="P29" s="289"/>
      <c r="Q29" s="289"/>
      <c r="R29" s="289"/>
      <c r="S29" s="289"/>
      <c r="T29" s="289"/>
      <c r="U29" s="289"/>
      <c r="V29" s="289"/>
      <c r="X29" s="329"/>
    </row>
    <row r="30" spans="1:24" ht="15.75" customHeight="1">
      <c r="C30" s="328"/>
      <c r="D30" s="289"/>
      <c r="E30" s="289"/>
      <c r="F30" s="289"/>
      <c r="G30" s="289"/>
      <c r="H30" s="289"/>
      <c r="I30" s="289"/>
      <c r="J30" s="289"/>
      <c r="K30" s="289"/>
      <c r="L30" s="289"/>
      <c r="M30" s="289"/>
      <c r="N30" s="289"/>
      <c r="O30" s="289"/>
      <c r="P30" s="289"/>
      <c r="Q30" s="289"/>
      <c r="R30" s="289"/>
      <c r="S30" s="289"/>
      <c r="T30" s="289"/>
      <c r="U30" s="289"/>
      <c r="V30" s="289"/>
      <c r="X30" s="329"/>
    </row>
    <row r="31" spans="1:24" ht="15.75" customHeight="1">
      <c r="C31" s="328"/>
      <c r="D31" s="289"/>
      <c r="E31" s="289"/>
      <c r="F31" s="289"/>
      <c r="G31" s="289"/>
      <c r="H31" s="289"/>
      <c r="I31" s="289"/>
      <c r="J31" s="289"/>
      <c r="K31" s="289"/>
      <c r="L31" s="289"/>
      <c r="M31" s="289"/>
      <c r="N31" s="289"/>
      <c r="O31" s="289"/>
      <c r="P31" s="289"/>
      <c r="Q31" s="289"/>
      <c r="R31" s="289"/>
      <c r="S31" s="289"/>
      <c r="T31" s="289"/>
      <c r="U31" s="289"/>
      <c r="V31" s="289"/>
      <c r="X31" s="329"/>
    </row>
    <row r="32" spans="1:24" ht="15.75" customHeight="1">
      <c r="C32" s="328"/>
      <c r="D32" s="289"/>
      <c r="E32" s="289"/>
      <c r="F32" s="289"/>
      <c r="G32" s="289"/>
      <c r="H32" s="289"/>
      <c r="I32" s="289"/>
      <c r="J32" s="289"/>
      <c r="K32" s="289"/>
      <c r="L32" s="289"/>
      <c r="M32" s="289"/>
      <c r="N32" s="289"/>
      <c r="O32" s="289"/>
      <c r="P32" s="289"/>
      <c r="Q32" s="289"/>
      <c r="R32" s="289"/>
      <c r="S32" s="289"/>
      <c r="T32" s="289"/>
      <c r="U32" s="289"/>
      <c r="V32" s="289"/>
      <c r="X32" s="329"/>
    </row>
    <row r="33" spans="3:24" ht="15.75" customHeight="1">
      <c r="C33" s="328"/>
      <c r="D33" s="289"/>
      <c r="E33" s="289"/>
      <c r="F33" s="289"/>
      <c r="G33" s="289"/>
      <c r="H33" s="289"/>
      <c r="I33" s="289"/>
      <c r="J33" s="289"/>
      <c r="K33" s="289"/>
      <c r="L33" s="289"/>
      <c r="M33" s="289"/>
      <c r="N33" s="289"/>
      <c r="O33" s="289"/>
      <c r="P33" s="289"/>
      <c r="Q33" s="289"/>
      <c r="R33" s="289"/>
      <c r="S33" s="289"/>
      <c r="T33" s="289"/>
      <c r="U33" s="289"/>
      <c r="V33" s="289"/>
      <c r="X33" s="329"/>
    </row>
    <row r="34" spans="3:24" ht="15.75" customHeight="1">
      <c r="C34" s="328"/>
      <c r="D34" s="289"/>
      <c r="E34" s="289"/>
      <c r="F34" s="289"/>
      <c r="G34" s="289"/>
      <c r="H34" s="289"/>
      <c r="I34" s="289"/>
      <c r="J34" s="289"/>
      <c r="K34" s="289"/>
      <c r="L34" s="289"/>
      <c r="M34" s="289"/>
      <c r="N34" s="289"/>
      <c r="O34" s="289"/>
      <c r="P34" s="289"/>
      <c r="Q34" s="289"/>
      <c r="R34" s="289"/>
      <c r="S34" s="289"/>
      <c r="T34" s="289"/>
      <c r="U34" s="289"/>
      <c r="V34" s="289"/>
      <c r="X34" s="329"/>
    </row>
    <row r="35" spans="3:24" ht="15.75" customHeight="1">
      <c r="C35" s="328"/>
      <c r="D35" s="289"/>
      <c r="E35" s="289"/>
      <c r="F35" s="289"/>
      <c r="G35" s="289"/>
      <c r="H35" s="289"/>
      <c r="I35" s="289"/>
      <c r="J35" s="289"/>
      <c r="K35" s="289"/>
      <c r="L35" s="289"/>
      <c r="M35" s="289"/>
      <c r="N35" s="289"/>
      <c r="O35" s="289"/>
      <c r="P35" s="289"/>
      <c r="Q35" s="289"/>
      <c r="R35" s="289"/>
      <c r="S35" s="289"/>
      <c r="T35" s="289"/>
      <c r="U35" s="289"/>
      <c r="V35" s="289"/>
      <c r="X35" s="32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X36" s="32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X37" s="32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X38" s="32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X39" s="32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X40" s="32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X41" s="32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X42" s="32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X43" s="32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X44" s="32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X45" s="32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X46" s="32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X47" s="32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X48" s="32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X49" s="32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X50" s="32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X51" s="32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X52" s="32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X53" s="32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X54" s="32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X55" s="32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X56" s="32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X57" s="32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X58" s="32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X59" s="32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X60" s="32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X61" s="32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X62" s="32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X63" s="32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X64" s="32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X65" s="32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X66" s="32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X67" s="32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X68" s="32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X69" s="32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X70" s="32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X71" s="32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X72" s="32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X73" s="32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X74" s="32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X75" s="32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X76" s="32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X77" s="32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X78" s="32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X79" s="32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X80" s="32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X81" s="32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X82" s="32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X83" s="32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X84" s="32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X85" s="32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X86" s="32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X87" s="32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X88" s="32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X89" s="32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X90" s="32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X91" s="32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X92" s="32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X93" s="32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X94" s="32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X95" s="32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X96" s="32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X97" s="32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X98" s="32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X99" s="32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X100" s="32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X101" s="32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X102" s="32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X103" s="32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X104" s="32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X105" s="32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X106" s="32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X107" s="32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X108" s="32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X109" s="32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X110" s="32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X111" s="32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X112" s="32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X113" s="32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X114" s="32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X115" s="32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X116" s="32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X117" s="32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X118" s="32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X119" s="32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X120" s="32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X121" s="32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X122" s="32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X123" s="32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X124" s="32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X125" s="32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X126" s="32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X127" s="32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X128" s="32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X129" s="32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X130" s="32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X131" s="32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X132" s="32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X133" s="32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X134" s="32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X135" s="32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X136" s="32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X137" s="32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X138" s="32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X139" s="32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X140" s="32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X141" s="32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X142" s="32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X143" s="32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X144" s="32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X145" s="32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X146" s="32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X147" s="32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X148" s="32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X149" s="32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X150" s="32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X151" s="32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X152" s="32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X153" s="32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X154" s="32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X155" s="32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X156" s="32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X157" s="32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X158" s="32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X159" s="32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X160" s="32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X161" s="32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X162" s="32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X163" s="32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X164" s="32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X165" s="32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X166" s="32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X167" s="32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X168" s="32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X169" s="32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X170" s="32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X171" s="32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X172" s="32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X173" s="32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X174" s="32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X175" s="32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X176" s="32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X177" s="32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X178" s="32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X179" s="32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X180" s="32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X181" s="32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X182" s="32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X183" s="32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X184" s="32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X185" s="32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X186" s="32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X187" s="32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X188" s="32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X189" s="32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X190" s="32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X191" s="32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X192" s="32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X193" s="32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X194" s="32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X195" s="32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X196" s="32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X197" s="32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X198" s="32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X199" s="32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X200" s="32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X201" s="32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X202" s="32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X203" s="32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X204" s="32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X205" s="32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X206" s="32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X207" s="32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X208" s="32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X209" s="32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X210" s="32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X211" s="32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X212" s="32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X213" s="32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X214" s="32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X215" s="32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X216" s="32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X217" s="329"/>
    </row>
    <row r="218" spans="3:24" ht="15.75" customHeight="1">
      <c r="X218" s="329"/>
    </row>
    <row r="219" spans="3:24" ht="15.75" customHeight="1">
      <c r="X219" s="329"/>
    </row>
    <row r="220" spans="3:24" ht="15.75" customHeight="1">
      <c r="X220" s="329"/>
    </row>
    <row r="221" spans="3:24" ht="15.75" customHeight="1">
      <c r="X221" s="329"/>
    </row>
    <row r="222" spans="3:24" ht="15.75" customHeight="1">
      <c r="X222" s="329"/>
    </row>
    <row r="223" spans="3:24" ht="15.75" customHeight="1">
      <c r="X223" s="329"/>
    </row>
    <row r="224" spans="3:24" ht="15.75" customHeight="1">
      <c r="X224" s="329"/>
    </row>
    <row r="225" spans="24:24" ht="15.75" customHeight="1">
      <c r="X225" s="329"/>
    </row>
    <row r="226" spans="24:24" ht="15.75" customHeight="1">
      <c r="X226" s="329"/>
    </row>
    <row r="227" spans="24:24" ht="15.75" customHeight="1">
      <c r="X227" s="329"/>
    </row>
    <row r="228" spans="24:24" ht="15.75" customHeight="1">
      <c r="X228" s="329"/>
    </row>
    <row r="229" spans="24:24" ht="15.75" customHeight="1">
      <c r="X229" s="329"/>
    </row>
    <row r="230" spans="24:24" ht="15.75" customHeight="1">
      <c r="X230" s="329"/>
    </row>
    <row r="231" spans="24:24" ht="15.75" customHeight="1">
      <c r="X231" s="329"/>
    </row>
    <row r="232" spans="24:24" ht="15.75" customHeight="1">
      <c r="X232" s="329"/>
    </row>
    <row r="233" spans="24:24" ht="15.75" customHeight="1">
      <c r="X233" s="329"/>
    </row>
    <row r="234" spans="24:24" ht="15.75" customHeight="1">
      <c r="X234" s="329"/>
    </row>
    <row r="235" spans="24:24" ht="15.75" customHeight="1">
      <c r="X235" s="329"/>
    </row>
    <row r="236" spans="24:24" ht="15.75" customHeight="1">
      <c r="X236" s="329"/>
    </row>
    <row r="237" spans="24:24" ht="15.75" customHeight="1">
      <c r="X237" s="329"/>
    </row>
    <row r="238" spans="24:24" ht="15.75" customHeight="1">
      <c r="X238" s="329"/>
    </row>
    <row r="239" spans="24:24" ht="15.75" customHeight="1">
      <c r="X239" s="329"/>
    </row>
    <row r="240" spans="24:24" ht="15.75" customHeight="1">
      <c r="X240" s="329"/>
    </row>
    <row r="241" spans="24:24" ht="15.75" customHeight="1">
      <c r="X241" s="329"/>
    </row>
    <row r="242" spans="24:24" ht="15.75" customHeight="1">
      <c r="X242" s="329"/>
    </row>
    <row r="243" spans="24:24" ht="15.75" customHeight="1">
      <c r="X243" s="329"/>
    </row>
    <row r="244" spans="24:24" ht="15.75" customHeight="1">
      <c r="X244" s="329"/>
    </row>
    <row r="245" spans="24:24" ht="15.75" customHeight="1">
      <c r="X245" s="329"/>
    </row>
    <row r="246" spans="24:24" ht="15.75" customHeight="1">
      <c r="X246" s="329"/>
    </row>
    <row r="247" spans="24:24" ht="15.75" customHeight="1">
      <c r="X247" s="329"/>
    </row>
    <row r="248" spans="24:24" ht="15.75" customHeight="1">
      <c r="X248" s="329"/>
    </row>
    <row r="249" spans="24:24" ht="15.75" customHeight="1">
      <c r="X249" s="329"/>
    </row>
    <row r="250" spans="24:24" ht="15.75" customHeight="1">
      <c r="X250" s="329"/>
    </row>
    <row r="251" spans="24:24" ht="15.75" customHeight="1">
      <c r="X251" s="329"/>
    </row>
    <row r="252" spans="24:24" ht="15.75" customHeight="1">
      <c r="X252" s="329"/>
    </row>
    <row r="253" spans="24:24" ht="15.75" customHeight="1">
      <c r="X253" s="329"/>
    </row>
    <row r="254" spans="24:24" ht="15.75" customHeight="1">
      <c r="X254" s="329"/>
    </row>
    <row r="255" spans="24:24" ht="15.75" customHeight="1">
      <c r="X255" s="329"/>
    </row>
    <row r="256" spans="24:24" ht="15.75" customHeight="1">
      <c r="X256" s="329"/>
    </row>
    <row r="257" spans="24:24" ht="15.75" customHeight="1">
      <c r="X257" s="329"/>
    </row>
    <row r="258" spans="24:24" ht="15.75" customHeight="1">
      <c r="X258" s="329"/>
    </row>
    <row r="259" spans="24:24" ht="15.75" customHeight="1">
      <c r="X259" s="329"/>
    </row>
    <row r="260" spans="24:24" ht="15.75" customHeight="1">
      <c r="X260" s="329"/>
    </row>
    <row r="261" spans="24:24" ht="15.75" customHeight="1">
      <c r="X261" s="329"/>
    </row>
    <row r="262" spans="24:24" ht="15.75" customHeight="1">
      <c r="X262" s="329"/>
    </row>
    <row r="263" spans="24:24" ht="15.75" customHeight="1">
      <c r="X263" s="329"/>
    </row>
    <row r="264" spans="24:24" ht="15.75" customHeight="1">
      <c r="X264" s="329"/>
    </row>
    <row r="265" spans="24:24" ht="15.75" customHeight="1">
      <c r="X265" s="329"/>
    </row>
    <row r="266" spans="24:24" ht="15.75" customHeight="1">
      <c r="X266" s="329"/>
    </row>
    <row r="267" spans="24:24" ht="15.75" customHeight="1">
      <c r="X267" s="329"/>
    </row>
    <row r="268" spans="24:24" ht="15.75" customHeight="1">
      <c r="X268" s="329"/>
    </row>
    <row r="269" spans="24:24" ht="15.75" customHeight="1">
      <c r="X269" s="329"/>
    </row>
    <row r="270" spans="24:24" ht="15.75" customHeight="1">
      <c r="X270" s="329"/>
    </row>
    <row r="271" spans="24:24" ht="15.75" customHeight="1">
      <c r="X271" s="329"/>
    </row>
    <row r="272" spans="24:24" ht="15.75" customHeight="1">
      <c r="X272" s="329"/>
    </row>
    <row r="273" spans="24:24" ht="15.75" customHeight="1">
      <c r="X273" s="329"/>
    </row>
    <row r="274" spans="24:24" ht="15.75" customHeight="1">
      <c r="X274" s="329"/>
    </row>
    <row r="275" spans="24:24" ht="15.75" customHeight="1">
      <c r="X275" s="329"/>
    </row>
    <row r="276" spans="24:24" ht="15.75" customHeight="1">
      <c r="X276" s="329"/>
    </row>
    <row r="277" spans="24:24" ht="15.75" customHeight="1">
      <c r="X277" s="329"/>
    </row>
    <row r="278" spans="24:24" ht="15.75" customHeight="1">
      <c r="X278" s="329"/>
    </row>
    <row r="279" spans="24:24" ht="15.75" customHeight="1">
      <c r="X279" s="329"/>
    </row>
    <row r="280" spans="24:24" ht="15.75" customHeight="1">
      <c r="X280" s="329"/>
    </row>
    <row r="281" spans="24:24" ht="15.75" customHeight="1">
      <c r="X281" s="329"/>
    </row>
    <row r="282" spans="24:24" ht="15.75" customHeight="1">
      <c r="X282" s="329"/>
    </row>
    <row r="283" spans="24:24" ht="15.75" customHeight="1">
      <c r="X283" s="329"/>
    </row>
    <row r="284" spans="24:24" ht="15.75" customHeight="1">
      <c r="X284" s="329"/>
    </row>
    <row r="285" spans="24:24" ht="15.75" customHeight="1">
      <c r="X285" s="329"/>
    </row>
    <row r="286" spans="24:24" ht="15.75" customHeight="1">
      <c r="X286" s="329"/>
    </row>
    <row r="287" spans="24:24" ht="15.75" customHeight="1">
      <c r="X287" s="329"/>
    </row>
    <row r="288" spans="24:24" ht="15.75" customHeight="1">
      <c r="X288" s="329"/>
    </row>
    <row r="289" spans="24:24" ht="15.75" customHeight="1">
      <c r="X289" s="329"/>
    </row>
    <row r="290" spans="24:24" ht="15.75" customHeight="1">
      <c r="X290" s="329"/>
    </row>
    <row r="291" spans="24:24" ht="15.75" customHeight="1">
      <c r="X291" s="329"/>
    </row>
    <row r="292" spans="24:24" ht="15.75" customHeight="1">
      <c r="X292" s="329"/>
    </row>
    <row r="293" spans="24:24" ht="15.75" customHeight="1">
      <c r="X293" s="329"/>
    </row>
    <row r="294" spans="24:24" ht="15.75" customHeight="1">
      <c r="X294" s="329"/>
    </row>
    <row r="295" spans="24:24" ht="15.75" customHeight="1">
      <c r="X295" s="329"/>
    </row>
    <row r="296" spans="24:24" ht="15.75" customHeight="1">
      <c r="X296" s="329"/>
    </row>
    <row r="297" spans="24:24" ht="15.75" customHeight="1">
      <c r="X297" s="329"/>
    </row>
    <row r="298" spans="24:24" ht="15.75" customHeight="1">
      <c r="X298" s="329"/>
    </row>
    <row r="299" spans="24:24" ht="15.75" customHeight="1">
      <c r="X299" s="329"/>
    </row>
    <row r="300" spans="24:24" ht="15.75" customHeight="1">
      <c r="X300" s="329"/>
    </row>
    <row r="301" spans="24:24" ht="15.75" customHeight="1">
      <c r="X301" s="329"/>
    </row>
    <row r="302" spans="24:24" ht="15.75" customHeight="1">
      <c r="X302" s="329"/>
    </row>
    <row r="303" spans="24:24" ht="15.75" customHeight="1">
      <c r="X303" s="329"/>
    </row>
    <row r="304" spans="24:24" ht="15.75" customHeight="1">
      <c r="X304" s="329"/>
    </row>
    <row r="305" spans="24:24" ht="15.75" customHeight="1">
      <c r="X305" s="329"/>
    </row>
    <row r="306" spans="24:24" ht="15.75" customHeight="1">
      <c r="X306" s="329"/>
    </row>
    <row r="307" spans="24:24" ht="15.75" customHeight="1">
      <c r="X307" s="329"/>
    </row>
    <row r="308" spans="24:24" ht="15.75" customHeight="1">
      <c r="X308" s="329"/>
    </row>
    <row r="309" spans="24:24" ht="15.75" customHeight="1">
      <c r="X309" s="329"/>
    </row>
    <row r="310" spans="24:24" ht="15.75" customHeight="1">
      <c r="X310" s="329"/>
    </row>
    <row r="311" spans="24:24" ht="15.75" customHeight="1">
      <c r="X311" s="329"/>
    </row>
    <row r="312" spans="24:24" ht="15.75" customHeight="1">
      <c r="X312" s="329"/>
    </row>
    <row r="313" spans="24:24" ht="15.75" customHeight="1">
      <c r="X313" s="329"/>
    </row>
    <row r="314" spans="24:24" ht="15.75" customHeight="1">
      <c r="X314" s="329"/>
    </row>
    <row r="315" spans="24:24" ht="15.75" customHeight="1">
      <c r="X315" s="329"/>
    </row>
    <row r="316" spans="24:24" ht="15.75" customHeight="1">
      <c r="X316" s="329"/>
    </row>
    <row r="317" spans="24:24" ht="15.75" customHeight="1">
      <c r="X317" s="329"/>
    </row>
    <row r="318" spans="24:24" ht="15.75" customHeight="1">
      <c r="X318" s="329"/>
    </row>
    <row r="319" spans="24:24" ht="15.75" customHeight="1">
      <c r="X319" s="329"/>
    </row>
    <row r="320" spans="24:24" ht="15.75" customHeight="1">
      <c r="X320" s="329"/>
    </row>
    <row r="321" spans="24:24" ht="15.75" customHeight="1">
      <c r="X321" s="329"/>
    </row>
    <row r="322" spans="24:24" ht="15.75" customHeight="1">
      <c r="X322" s="329"/>
    </row>
    <row r="323" spans="24:24" ht="15.75" customHeight="1">
      <c r="X323" s="329"/>
    </row>
    <row r="324" spans="24:24" ht="15.75" customHeight="1">
      <c r="X324" s="329"/>
    </row>
    <row r="325" spans="24:24" ht="15.75" customHeight="1">
      <c r="X325" s="329"/>
    </row>
    <row r="326" spans="24:24" ht="15.75" customHeight="1">
      <c r="X326" s="329"/>
    </row>
    <row r="327" spans="24:24" ht="15.75" customHeight="1">
      <c r="X327" s="329"/>
    </row>
    <row r="328" spans="24:24" ht="15.75" customHeight="1">
      <c r="X328" s="329"/>
    </row>
    <row r="329" spans="24:24" ht="15.75" customHeight="1">
      <c r="X329" s="329"/>
    </row>
    <row r="330" spans="24:24" ht="15.75" customHeight="1">
      <c r="X330" s="329"/>
    </row>
    <row r="331" spans="24:24" ht="15.75" customHeight="1">
      <c r="X331" s="329"/>
    </row>
    <row r="332" spans="24:24" ht="15.75" customHeight="1">
      <c r="X332" s="329"/>
    </row>
    <row r="333" spans="24:24" ht="15.75" customHeight="1">
      <c r="X333" s="329"/>
    </row>
    <row r="334" spans="24:24" ht="15.75" customHeight="1">
      <c r="X334" s="329"/>
    </row>
    <row r="335" spans="24:24" ht="15.75" customHeight="1">
      <c r="X335" s="329"/>
    </row>
    <row r="336" spans="24:24" ht="15.75" customHeight="1">
      <c r="X336" s="329"/>
    </row>
    <row r="337" spans="24:24" ht="15.75" customHeight="1">
      <c r="X337" s="329"/>
    </row>
    <row r="338" spans="24:24" ht="15.75" customHeight="1">
      <c r="X338" s="329"/>
    </row>
    <row r="339" spans="24:24" ht="15.75" customHeight="1">
      <c r="X339" s="329"/>
    </row>
    <row r="340" spans="24:24" ht="15.75" customHeight="1">
      <c r="X340" s="329"/>
    </row>
    <row r="341" spans="24:24" ht="15.75" customHeight="1">
      <c r="X341" s="329"/>
    </row>
    <row r="342" spans="24:24" ht="15.75" customHeight="1">
      <c r="X342" s="329"/>
    </row>
    <row r="343" spans="24:24" ht="15.75" customHeight="1">
      <c r="X343" s="329"/>
    </row>
    <row r="344" spans="24:24" ht="15.75" customHeight="1">
      <c r="X344" s="329"/>
    </row>
    <row r="345" spans="24:24" ht="15.75" customHeight="1">
      <c r="X345" s="329"/>
    </row>
    <row r="346" spans="24:24" ht="15.75" customHeight="1">
      <c r="X346" s="329"/>
    </row>
    <row r="347" spans="24:24" ht="15.75" customHeight="1">
      <c r="X347" s="329"/>
    </row>
    <row r="348" spans="24:24" ht="15.75" customHeight="1">
      <c r="X348" s="329"/>
    </row>
    <row r="349" spans="24:24" ht="15.75" customHeight="1">
      <c r="X349" s="329"/>
    </row>
    <row r="350" spans="24:24" ht="15.75" customHeight="1">
      <c r="X350" s="329"/>
    </row>
    <row r="351" spans="24:24" ht="15.75" customHeight="1">
      <c r="X351" s="329"/>
    </row>
    <row r="352" spans="24:24" ht="15.75" customHeight="1">
      <c r="X352" s="329"/>
    </row>
    <row r="353" spans="24:24" ht="15.75" customHeight="1">
      <c r="X353" s="329"/>
    </row>
    <row r="354" spans="24:24" ht="15.75" customHeight="1">
      <c r="X354" s="329"/>
    </row>
    <row r="355" spans="24:24" ht="15.75" customHeight="1">
      <c r="X355" s="329"/>
    </row>
    <row r="356" spans="24:24" ht="15.75" customHeight="1">
      <c r="X356" s="329"/>
    </row>
    <row r="357" spans="24:24" ht="15.75" customHeight="1">
      <c r="X357" s="329"/>
    </row>
    <row r="358" spans="24:24" ht="15.75" customHeight="1">
      <c r="X358" s="329"/>
    </row>
    <row r="359" spans="24:24" ht="15.75" customHeight="1">
      <c r="X359" s="329"/>
    </row>
    <row r="360" spans="24:24" ht="15.75" customHeight="1">
      <c r="X360" s="329"/>
    </row>
    <row r="361" spans="24:24" ht="15.75" customHeight="1">
      <c r="X361" s="329"/>
    </row>
    <row r="362" spans="24:24" ht="15.75" customHeight="1">
      <c r="X362" s="329"/>
    </row>
    <row r="363" spans="24:24" ht="15.75" customHeight="1">
      <c r="X363" s="329"/>
    </row>
    <row r="364" spans="24:24" ht="15.75" customHeight="1">
      <c r="X364" s="329"/>
    </row>
    <row r="365" spans="24:24" ht="15.75" customHeight="1">
      <c r="X365" s="329"/>
    </row>
    <row r="366" spans="24:24" ht="15.75" customHeight="1">
      <c r="X366" s="329"/>
    </row>
    <row r="367" spans="24:24" ht="15.75" customHeight="1">
      <c r="X367" s="329"/>
    </row>
    <row r="368" spans="24:24" ht="15.75" customHeight="1">
      <c r="X368" s="329"/>
    </row>
    <row r="369" spans="24:24" ht="15.75" customHeight="1">
      <c r="X369" s="329"/>
    </row>
    <row r="370" spans="24:24" ht="15.75" customHeight="1">
      <c r="X370" s="329"/>
    </row>
    <row r="371" spans="24:24" ht="15.75" customHeight="1">
      <c r="X371" s="329"/>
    </row>
    <row r="372" spans="24:24" ht="15.75" customHeight="1">
      <c r="X372" s="329"/>
    </row>
    <row r="373" spans="24:24" ht="15.75" customHeight="1">
      <c r="X373" s="329"/>
    </row>
    <row r="374" spans="24:24" ht="15.75" customHeight="1">
      <c r="X374" s="329"/>
    </row>
    <row r="375" spans="24:24" ht="15.75" customHeight="1">
      <c r="X375" s="329"/>
    </row>
    <row r="376" spans="24:24" ht="15.75" customHeight="1">
      <c r="X376" s="329"/>
    </row>
    <row r="377" spans="24:24" ht="15.75" customHeight="1">
      <c r="X377" s="329"/>
    </row>
    <row r="378" spans="24:24" ht="15.75" customHeight="1">
      <c r="X378" s="329"/>
    </row>
    <row r="379" spans="24:24" ht="15.75" customHeight="1">
      <c r="X379" s="329"/>
    </row>
    <row r="380" spans="24:24" ht="15.75" customHeight="1">
      <c r="X380" s="329"/>
    </row>
    <row r="381" spans="24:24" ht="15.75" customHeight="1">
      <c r="X381" s="329"/>
    </row>
    <row r="382" spans="24:24" ht="15.75" customHeight="1">
      <c r="X382" s="329"/>
    </row>
    <row r="383" spans="24:24" ht="15.75" customHeight="1">
      <c r="X383" s="329"/>
    </row>
    <row r="384" spans="24:24" ht="15.75" customHeight="1">
      <c r="X384" s="329"/>
    </row>
    <row r="385" spans="24:24" ht="15.75" customHeight="1">
      <c r="X385" s="329"/>
    </row>
    <row r="386" spans="24:24" ht="15.75" customHeight="1">
      <c r="X386" s="329"/>
    </row>
    <row r="387" spans="24:24" ht="15.75" customHeight="1">
      <c r="X387" s="329"/>
    </row>
    <row r="388" spans="24:24" ht="15.75" customHeight="1">
      <c r="X388" s="329"/>
    </row>
    <row r="389" spans="24:24" ht="15.75" customHeight="1">
      <c r="X389" s="329"/>
    </row>
    <row r="390" spans="24:24" ht="15.75" customHeight="1">
      <c r="X390" s="329"/>
    </row>
    <row r="391" spans="24:24" ht="15.75" customHeight="1">
      <c r="X391" s="329"/>
    </row>
    <row r="392" spans="24:24" ht="15.75" customHeight="1">
      <c r="X392" s="329"/>
    </row>
    <row r="393" spans="24:24" ht="15.75" customHeight="1">
      <c r="X393" s="329"/>
    </row>
    <row r="394" spans="24:24" ht="15.75" customHeight="1">
      <c r="X394" s="329"/>
    </row>
    <row r="395" spans="24:24" ht="15.75" customHeight="1">
      <c r="X395" s="329"/>
    </row>
    <row r="396" spans="24:24" ht="15.75" customHeight="1">
      <c r="X396" s="329"/>
    </row>
    <row r="397" spans="24:24" ht="15.75" customHeight="1">
      <c r="X397" s="329"/>
    </row>
    <row r="398" spans="24:24" ht="15.75" customHeight="1">
      <c r="X398" s="329"/>
    </row>
    <row r="399" spans="24:24" ht="15.75" customHeight="1">
      <c r="X399" s="329"/>
    </row>
    <row r="400" spans="24:24" ht="15.75" customHeight="1">
      <c r="X400" s="329"/>
    </row>
    <row r="401" spans="24:24" ht="15.75" customHeight="1">
      <c r="X401" s="329"/>
    </row>
    <row r="402" spans="24:24" ht="15.75" customHeight="1">
      <c r="X402" s="329"/>
    </row>
    <row r="403" spans="24:24" ht="15.75" customHeight="1">
      <c r="X403" s="329"/>
    </row>
    <row r="404" spans="24:24" ht="15.75" customHeight="1">
      <c r="X404" s="329"/>
    </row>
    <row r="405" spans="24:24" ht="15.75" customHeight="1">
      <c r="X405" s="329"/>
    </row>
    <row r="406" spans="24:24" ht="15.75" customHeight="1">
      <c r="X406" s="329"/>
    </row>
    <row r="407" spans="24:24" ht="15.75" customHeight="1">
      <c r="X407" s="329"/>
    </row>
    <row r="408" spans="24:24" ht="15.75" customHeight="1">
      <c r="X408" s="329"/>
    </row>
    <row r="409" spans="24:24" ht="15.75" customHeight="1">
      <c r="X409" s="329"/>
    </row>
    <row r="410" spans="24:24" ht="15.75" customHeight="1">
      <c r="X410" s="329"/>
    </row>
    <row r="411" spans="24:24" ht="15.75" customHeight="1">
      <c r="X411" s="329"/>
    </row>
    <row r="412" spans="24:24" ht="15.75" customHeight="1">
      <c r="X412" s="329"/>
    </row>
    <row r="413" spans="24:24" ht="15.75" customHeight="1">
      <c r="X413" s="329"/>
    </row>
    <row r="414" spans="24:24" ht="15.75" customHeight="1">
      <c r="X414" s="329"/>
    </row>
    <row r="415" spans="24:24" ht="15.75" customHeight="1">
      <c r="X415" s="329"/>
    </row>
    <row r="416" spans="24:24" ht="15.75" customHeight="1">
      <c r="X416" s="329"/>
    </row>
    <row r="417" spans="24:24" ht="15.75" customHeight="1">
      <c r="X417" s="329"/>
    </row>
    <row r="418" spans="24:24" ht="15.75" customHeight="1">
      <c r="X418" s="329"/>
    </row>
    <row r="419" spans="24:24" ht="15.75" customHeight="1">
      <c r="X419" s="329"/>
    </row>
    <row r="420" spans="24:24" ht="15.75" customHeight="1">
      <c r="X420" s="329"/>
    </row>
    <row r="421" spans="24:24" ht="15.75" customHeight="1">
      <c r="X421" s="329"/>
    </row>
    <row r="422" spans="24:24" ht="15.75" customHeight="1">
      <c r="X422" s="329"/>
    </row>
    <row r="423" spans="24:24" ht="15.75" customHeight="1">
      <c r="X423" s="329"/>
    </row>
    <row r="424" spans="24:24" ht="15.75" customHeight="1">
      <c r="X424" s="329"/>
    </row>
    <row r="425" spans="24:24" ht="15.75" customHeight="1">
      <c r="X425" s="329"/>
    </row>
    <row r="426" spans="24:24" ht="15.75" customHeight="1">
      <c r="X426" s="329"/>
    </row>
    <row r="427" spans="24:24" ht="15.75" customHeight="1">
      <c r="X427" s="329"/>
    </row>
    <row r="428" spans="24:24" ht="15.75" customHeight="1">
      <c r="X428" s="329"/>
    </row>
    <row r="429" spans="24:24" ht="15.75" customHeight="1">
      <c r="X429" s="329"/>
    </row>
    <row r="430" spans="24:24" ht="15.75" customHeight="1">
      <c r="X430" s="329"/>
    </row>
    <row r="431" spans="24:24" ht="15.75" customHeight="1">
      <c r="X431" s="329"/>
    </row>
    <row r="432" spans="24:24" ht="15.75" customHeight="1">
      <c r="X432" s="329"/>
    </row>
    <row r="433" spans="24:24" ht="15.75" customHeight="1">
      <c r="X433" s="329"/>
    </row>
    <row r="434" spans="24:24" ht="15.75" customHeight="1">
      <c r="X434" s="329"/>
    </row>
    <row r="435" spans="24:24" ht="15.75" customHeight="1">
      <c r="X435" s="329"/>
    </row>
    <row r="436" spans="24:24" ht="15.75" customHeight="1">
      <c r="X436" s="329"/>
    </row>
    <row r="437" spans="24:24" ht="15.75" customHeight="1">
      <c r="X437" s="329"/>
    </row>
    <row r="438" spans="24:24" ht="15.75" customHeight="1">
      <c r="X438" s="329"/>
    </row>
    <row r="439" spans="24:24" ht="15.75" customHeight="1">
      <c r="X439" s="329"/>
    </row>
    <row r="440" spans="24:24" ht="15.75" customHeight="1">
      <c r="X440" s="329"/>
    </row>
    <row r="441" spans="24:24" ht="15.75" customHeight="1">
      <c r="X441" s="329"/>
    </row>
    <row r="442" spans="24:24" ht="15.75" customHeight="1">
      <c r="X442" s="329"/>
    </row>
    <row r="443" spans="24:24" ht="15.75" customHeight="1">
      <c r="X443" s="329"/>
    </row>
    <row r="444" spans="24:24" ht="15.75" customHeight="1">
      <c r="X444" s="329"/>
    </row>
    <row r="445" spans="24:24" ht="15.75" customHeight="1">
      <c r="X445" s="329"/>
    </row>
    <row r="446" spans="24:24" ht="15.75" customHeight="1">
      <c r="X446" s="329"/>
    </row>
    <row r="447" spans="24:24" ht="15.75" customHeight="1">
      <c r="X447" s="329"/>
    </row>
    <row r="448" spans="24:24" ht="15.75" customHeight="1">
      <c r="X448" s="329"/>
    </row>
    <row r="449" spans="24:24" ht="15.75" customHeight="1">
      <c r="X449" s="329"/>
    </row>
    <row r="450" spans="24:24" ht="15.75" customHeight="1">
      <c r="X450" s="329"/>
    </row>
    <row r="451" spans="24:24" ht="15.75" customHeight="1">
      <c r="X451" s="329"/>
    </row>
    <row r="452" spans="24:24" ht="15.75" customHeight="1">
      <c r="X452" s="329"/>
    </row>
    <row r="453" spans="24:24" ht="15.75" customHeight="1">
      <c r="X453" s="329"/>
    </row>
    <row r="454" spans="24:24" ht="15.75" customHeight="1">
      <c r="X454" s="329"/>
    </row>
    <row r="455" spans="24:24" ht="15.75" customHeight="1">
      <c r="X455" s="329"/>
    </row>
    <row r="456" spans="24:24" ht="15.75" customHeight="1">
      <c r="X456" s="329"/>
    </row>
    <row r="457" spans="24:24" ht="15.75" customHeight="1">
      <c r="X457" s="329"/>
    </row>
    <row r="458" spans="24:24" ht="15.75" customHeight="1">
      <c r="X458" s="329"/>
    </row>
    <row r="459" spans="24:24" ht="15.75" customHeight="1">
      <c r="X459" s="329"/>
    </row>
    <row r="460" spans="24:24" ht="15.75" customHeight="1">
      <c r="X460" s="329"/>
    </row>
    <row r="461" spans="24:24" ht="15.75" customHeight="1">
      <c r="X461" s="329"/>
    </row>
    <row r="462" spans="24:24" ht="15.75" customHeight="1">
      <c r="X462" s="329"/>
    </row>
    <row r="463" spans="24:24" ht="15.75" customHeight="1">
      <c r="X463" s="329"/>
    </row>
    <row r="464" spans="24:24" ht="15.75" customHeight="1">
      <c r="X464" s="329"/>
    </row>
    <row r="465" spans="24:24" ht="15.75" customHeight="1">
      <c r="X465" s="329"/>
    </row>
    <row r="466" spans="24:24" ht="15.75" customHeight="1">
      <c r="X466" s="329"/>
    </row>
    <row r="467" spans="24:24" ht="15.75" customHeight="1">
      <c r="X467" s="329"/>
    </row>
    <row r="468" spans="24:24" ht="15.75" customHeight="1">
      <c r="X468" s="329"/>
    </row>
    <row r="469" spans="24:24" ht="15.75" customHeight="1">
      <c r="X469" s="329"/>
    </row>
    <row r="470" spans="24:24" ht="15.75" customHeight="1">
      <c r="X470" s="329"/>
    </row>
    <row r="471" spans="24:24" ht="15.75" customHeight="1">
      <c r="X471" s="329"/>
    </row>
    <row r="472" spans="24:24" ht="15.75" customHeight="1">
      <c r="X472" s="329"/>
    </row>
    <row r="473" spans="24:24" ht="15.75" customHeight="1">
      <c r="X473" s="329"/>
    </row>
    <row r="474" spans="24:24" ht="15.75" customHeight="1">
      <c r="X474" s="329"/>
    </row>
    <row r="475" spans="24:24" ht="15.75" customHeight="1">
      <c r="X475" s="329"/>
    </row>
    <row r="476" spans="24:24" ht="15.75" customHeight="1">
      <c r="X476" s="329"/>
    </row>
    <row r="477" spans="24:24" ht="15.75" customHeight="1">
      <c r="X477" s="329"/>
    </row>
    <row r="478" spans="24:24" ht="15.75" customHeight="1">
      <c r="X478" s="329"/>
    </row>
    <row r="479" spans="24:24" ht="15.75" customHeight="1">
      <c r="X479" s="329"/>
    </row>
    <row r="480" spans="24:24" ht="15.75" customHeight="1">
      <c r="X480" s="329"/>
    </row>
    <row r="481" spans="24:24" ht="15.75" customHeight="1">
      <c r="X481" s="329"/>
    </row>
    <row r="482" spans="24:24" ht="15.75" customHeight="1">
      <c r="X482" s="329"/>
    </row>
    <row r="483" spans="24:24" ht="15.75" customHeight="1">
      <c r="X483" s="329"/>
    </row>
    <row r="484" spans="24:24" ht="15.75" customHeight="1">
      <c r="X484" s="329"/>
    </row>
    <row r="485" spans="24:24" ht="15.75" customHeight="1">
      <c r="X485" s="329"/>
    </row>
    <row r="486" spans="24:24" ht="15.75" customHeight="1">
      <c r="X486" s="329"/>
    </row>
    <row r="487" spans="24:24" ht="15.75" customHeight="1">
      <c r="X487" s="329"/>
    </row>
    <row r="488" spans="24:24" ht="15.75" customHeight="1">
      <c r="X488" s="329"/>
    </row>
    <row r="489" spans="24:24" ht="15.75" customHeight="1">
      <c r="X489" s="329"/>
    </row>
    <row r="490" spans="24:24" ht="15.75" customHeight="1">
      <c r="X490" s="329"/>
    </row>
    <row r="491" spans="24:24" ht="15.75" customHeight="1">
      <c r="X491" s="329"/>
    </row>
    <row r="492" spans="24:24" ht="15.75" customHeight="1">
      <c r="X492" s="329"/>
    </row>
    <row r="493" spans="24:24" ht="15.75" customHeight="1">
      <c r="X493" s="329"/>
    </row>
    <row r="494" spans="24:24" ht="15.75" customHeight="1">
      <c r="X494" s="329"/>
    </row>
    <row r="495" spans="24:24" ht="15.75" customHeight="1">
      <c r="X495" s="329"/>
    </row>
    <row r="496" spans="24:24" ht="15.75" customHeight="1">
      <c r="X496" s="329"/>
    </row>
    <row r="497" spans="24:24" ht="15.75" customHeight="1">
      <c r="X497" s="329"/>
    </row>
    <row r="498" spans="24:24" ht="15.75" customHeight="1">
      <c r="X498" s="329"/>
    </row>
    <row r="499" spans="24:24" ht="15.75" customHeight="1">
      <c r="X499" s="329"/>
    </row>
    <row r="500" spans="24:24" ht="15.75" customHeight="1">
      <c r="X500" s="329"/>
    </row>
    <row r="501" spans="24:24" ht="15.75" customHeight="1">
      <c r="X501" s="329"/>
    </row>
    <row r="502" spans="24:24" ht="15.75" customHeight="1">
      <c r="X502" s="329"/>
    </row>
    <row r="503" spans="24:24" ht="15.75" customHeight="1">
      <c r="X503" s="329"/>
    </row>
    <row r="504" spans="24:24" ht="15.75" customHeight="1">
      <c r="X504" s="329"/>
    </row>
    <row r="505" spans="24:24" ht="15.75" customHeight="1">
      <c r="X505" s="329"/>
    </row>
    <row r="506" spans="24:24" ht="15.75" customHeight="1">
      <c r="X506" s="329"/>
    </row>
    <row r="507" spans="24:24" ht="15.75" customHeight="1">
      <c r="X507" s="329"/>
    </row>
    <row r="508" spans="24:24" ht="15.75" customHeight="1">
      <c r="X508" s="329"/>
    </row>
    <row r="509" spans="24:24" ht="15.75" customHeight="1">
      <c r="X509" s="329"/>
    </row>
    <row r="510" spans="24:24" ht="15.75" customHeight="1">
      <c r="X510" s="329"/>
    </row>
    <row r="511" spans="24:24" ht="15.75" customHeight="1">
      <c r="X511" s="329"/>
    </row>
    <row r="512" spans="24:24" ht="15.75" customHeight="1">
      <c r="X512" s="329"/>
    </row>
    <row r="513" spans="24:24" ht="15.75" customHeight="1">
      <c r="X513" s="329"/>
    </row>
    <row r="514" spans="24:24" ht="15.75" customHeight="1">
      <c r="X514" s="329"/>
    </row>
    <row r="515" spans="24:24" ht="15.75" customHeight="1">
      <c r="X515" s="329"/>
    </row>
    <row r="516" spans="24:24" ht="15.75" customHeight="1">
      <c r="X516" s="329"/>
    </row>
    <row r="517" spans="24:24" ht="15.75" customHeight="1">
      <c r="X517" s="329"/>
    </row>
    <row r="518" spans="24:24" ht="15.75" customHeight="1">
      <c r="X518" s="329"/>
    </row>
    <row r="519" spans="24:24" ht="15.75" customHeight="1">
      <c r="X519" s="329"/>
    </row>
    <row r="520" spans="24:24" ht="15.75" customHeight="1">
      <c r="X520" s="329"/>
    </row>
    <row r="521" spans="24:24" ht="15.75" customHeight="1">
      <c r="X521" s="329"/>
    </row>
    <row r="522" spans="24:24" ht="15.75" customHeight="1">
      <c r="X522" s="329"/>
    </row>
    <row r="523" spans="24:24" ht="15.75" customHeight="1">
      <c r="X523" s="329"/>
    </row>
    <row r="524" spans="24:24" ht="15.75" customHeight="1">
      <c r="X524" s="329"/>
    </row>
    <row r="525" spans="24:24" ht="15.75" customHeight="1">
      <c r="X525" s="329"/>
    </row>
    <row r="526" spans="24:24" ht="15.75" customHeight="1">
      <c r="X526" s="329"/>
    </row>
    <row r="527" spans="24:24" ht="15.75" customHeight="1">
      <c r="X527" s="329"/>
    </row>
    <row r="528" spans="24:24" ht="15.75" customHeight="1">
      <c r="X528" s="329"/>
    </row>
    <row r="529" spans="24:24" ht="15.75" customHeight="1">
      <c r="X529" s="329"/>
    </row>
    <row r="530" spans="24:24" ht="15.75" customHeight="1">
      <c r="X530" s="329"/>
    </row>
    <row r="531" spans="24:24" ht="15.75" customHeight="1">
      <c r="X531" s="329"/>
    </row>
    <row r="532" spans="24:24" ht="15.75" customHeight="1">
      <c r="X532" s="329"/>
    </row>
    <row r="533" spans="24:24" ht="15.75" customHeight="1">
      <c r="X533" s="329"/>
    </row>
    <row r="534" spans="24:24" ht="15.75" customHeight="1">
      <c r="X534" s="329"/>
    </row>
    <row r="535" spans="24:24" ht="15.75" customHeight="1">
      <c r="X535" s="329"/>
    </row>
    <row r="536" spans="24:24" ht="15.75" customHeight="1">
      <c r="X536" s="329"/>
    </row>
    <row r="537" spans="24:24" ht="15.75" customHeight="1">
      <c r="X537" s="329"/>
    </row>
    <row r="538" spans="24:24" ht="15.75" customHeight="1">
      <c r="X538" s="329"/>
    </row>
    <row r="539" spans="24:24" ht="15.75" customHeight="1">
      <c r="X539" s="329"/>
    </row>
    <row r="540" spans="24:24" ht="15.75" customHeight="1">
      <c r="X540" s="329"/>
    </row>
    <row r="541" spans="24:24" ht="15.75" customHeight="1">
      <c r="X541" s="329"/>
    </row>
    <row r="542" spans="24:24" ht="15.75" customHeight="1">
      <c r="X542" s="329"/>
    </row>
    <row r="543" spans="24:24" ht="15.75" customHeight="1">
      <c r="X543" s="329"/>
    </row>
    <row r="544" spans="24:24" ht="15.75" customHeight="1">
      <c r="X544" s="329"/>
    </row>
    <row r="545" spans="24:24" ht="15.75" customHeight="1">
      <c r="X545" s="329"/>
    </row>
    <row r="546" spans="24:24" ht="15.75" customHeight="1">
      <c r="X546" s="329"/>
    </row>
    <row r="547" spans="24:24" ht="15.75" customHeight="1">
      <c r="X547" s="329"/>
    </row>
    <row r="548" spans="24:24" ht="15.75" customHeight="1">
      <c r="X548" s="329"/>
    </row>
    <row r="549" spans="24:24" ht="15.75" customHeight="1">
      <c r="X549" s="329"/>
    </row>
    <row r="550" spans="24:24" ht="15.75" customHeight="1">
      <c r="X550" s="329"/>
    </row>
    <row r="551" spans="24:24" ht="15.75" customHeight="1">
      <c r="X551" s="329"/>
    </row>
    <row r="552" spans="24:24" ht="15.75" customHeight="1">
      <c r="X552" s="329"/>
    </row>
    <row r="553" spans="24:24" ht="15.75" customHeight="1">
      <c r="X553" s="329"/>
    </row>
    <row r="554" spans="24:24" ht="15.75" customHeight="1">
      <c r="X554" s="329"/>
    </row>
    <row r="555" spans="24:24" ht="15.75" customHeight="1">
      <c r="X555" s="329"/>
    </row>
    <row r="556" spans="24:24" ht="15.75" customHeight="1">
      <c r="X556" s="329"/>
    </row>
    <row r="557" spans="24:24" ht="15.75" customHeight="1">
      <c r="X557" s="329"/>
    </row>
    <row r="558" spans="24:24" ht="15.75" customHeight="1">
      <c r="X558" s="329"/>
    </row>
    <row r="559" spans="24:24" ht="15.75" customHeight="1">
      <c r="X559" s="329"/>
    </row>
    <row r="560" spans="24:24" ht="15.75" customHeight="1">
      <c r="X560" s="329"/>
    </row>
    <row r="561" spans="24:24" ht="15.75" customHeight="1">
      <c r="X561" s="329"/>
    </row>
    <row r="562" spans="24:24" ht="15.75" customHeight="1">
      <c r="X562" s="329"/>
    </row>
    <row r="563" spans="24:24" ht="15.75" customHeight="1">
      <c r="X563" s="329"/>
    </row>
    <row r="564" spans="24:24" ht="15.75" customHeight="1">
      <c r="X564" s="329"/>
    </row>
    <row r="565" spans="24:24" ht="15.75" customHeight="1">
      <c r="X565" s="329"/>
    </row>
    <row r="566" spans="24:24" ht="15.75" customHeight="1">
      <c r="X566" s="329"/>
    </row>
    <row r="567" spans="24:24" ht="15.75" customHeight="1">
      <c r="X567" s="329"/>
    </row>
    <row r="568" spans="24:24" ht="15.75" customHeight="1">
      <c r="X568" s="329"/>
    </row>
    <row r="569" spans="24:24" ht="15.75" customHeight="1">
      <c r="X569" s="329"/>
    </row>
    <row r="570" spans="24:24" ht="15.75" customHeight="1">
      <c r="X570" s="329"/>
    </row>
    <row r="571" spans="24:24" ht="15.75" customHeight="1">
      <c r="X571" s="329"/>
    </row>
    <row r="572" spans="24:24" ht="15.75" customHeight="1">
      <c r="X572" s="329"/>
    </row>
    <row r="573" spans="24:24" ht="15.75" customHeight="1">
      <c r="X573" s="329"/>
    </row>
    <row r="574" spans="24:24" ht="15.75" customHeight="1">
      <c r="X574" s="329"/>
    </row>
    <row r="575" spans="24:24" ht="15.75" customHeight="1">
      <c r="X575" s="329"/>
    </row>
    <row r="576" spans="24:24" ht="15.75" customHeight="1">
      <c r="X576" s="329"/>
    </row>
    <row r="577" spans="24:24" ht="15.75" customHeight="1">
      <c r="X577" s="329"/>
    </row>
    <row r="578" spans="24:24" ht="15.75" customHeight="1">
      <c r="X578" s="329"/>
    </row>
    <row r="579" spans="24:24" ht="15.75" customHeight="1">
      <c r="X579" s="329"/>
    </row>
    <row r="580" spans="24:24" ht="15.75" customHeight="1">
      <c r="X580" s="329"/>
    </row>
    <row r="581" spans="24:24" ht="15.75" customHeight="1">
      <c r="X581" s="329"/>
    </row>
    <row r="582" spans="24:24" ht="15.75" customHeight="1">
      <c r="X582" s="329"/>
    </row>
    <row r="583" spans="24:24" ht="15.75" customHeight="1">
      <c r="X583" s="329"/>
    </row>
    <row r="584" spans="24:24" ht="15.75" customHeight="1">
      <c r="X584" s="329"/>
    </row>
    <row r="585" spans="24:24" ht="15.75" customHeight="1">
      <c r="X585" s="329"/>
    </row>
    <row r="586" spans="24:24" ht="15.75" customHeight="1">
      <c r="X586" s="329"/>
    </row>
    <row r="587" spans="24:24" ht="15.75" customHeight="1">
      <c r="X587" s="329"/>
    </row>
    <row r="588" spans="24:24" ht="15.75" customHeight="1">
      <c r="X588" s="329"/>
    </row>
    <row r="589" spans="24:24" ht="15.75" customHeight="1">
      <c r="X589" s="329"/>
    </row>
    <row r="590" spans="24:24" ht="15.75" customHeight="1">
      <c r="X590" s="329"/>
    </row>
    <row r="591" spans="24:24" ht="15.75" customHeight="1">
      <c r="X591" s="329"/>
    </row>
    <row r="592" spans="24:24" ht="15.75" customHeight="1">
      <c r="X592" s="329"/>
    </row>
    <row r="593" spans="24:24" ht="15.75" customHeight="1">
      <c r="X593" s="329"/>
    </row>
    <row r="594" spans="24:24" ht="15.75" customHeight="1">
      <c r="X594" s="329"/>
    </row>
    <row r="595" spans="24:24" ht="15.75" customHeight="1">
      <c r="X595" s="329"/>
    </row>
    <row r="596" spans="24:24" ht="15.75" customHeight="1">
      <c r="X596" s="329"/>
    </row>
    <row r="597" spans="24:24" ht="15.75" customHeight="1">
      <c r="X597" s="329"/>
    </row>
    <row r="598" spans="24:24" ht="15.75" customHeight="1">
      <c r="X598" s="329"/>
    </row>
    <row r="599" spans="24:24" ht="15.75" customHeight="1">
      <c r="X599" s="329"/>
    </row>
    <row r="600" spans="24:24" ht="15.75" customHeight="1">
      <c r="X600" s="329"/>
    </row>
    <row r="601" spans="24:24" ht="15.75" customHeight="1">
      <c r="X601" s="329"/>
    </row>
    <row r="602" spans="24:24" ht="15.75" customHeight="1">
      <c r="X602" s="329"/>
    </row>
    <row r="603" spans="24:24" ht="15.75" customHeight="1">
      <c r="X603" s="329"/>
    </row>
    <row r="604" spans="24:24" ht="15.75" customHeight="1">
      <c r="X604" s="329"/>
    </row>
    <row r="605" spans="24:24" ht="15.75" customHeight="1">
      <c r="X605" s="329"/>
    </row>
    <row r="606" spans="24:24" ht="15.75" customHeight="1">
      <c r="X606" s="329"/>
    </row>
    <row r="607" spans="24:24" ht="15.75" customHeight="1">
      <c r="X607" s="329"/>
    </row>
    <row r="608" spans="24:24" ht="15.75" customHeight="1">
      <c r="X608" s="329"/>
    </row>
    <row r="609" spans="24:24" ht="15.75" customHeight="1">
      <c r="X609" s="329"/>
    </row>
    <row r="610" spans="24:24" ht="15.75" customHeight="1">
      <c r="X610" s="329"/>
    </row>
    <row r="611" spans="24:24" ht="15.75" customHeight="1">
      <c r="X611" s="329"/>
    </row>
    <row r="612" spans="24:24" ht="15.75" customHeight="1">
      <c r="X612" s="329"/>
    </row>
    <row r="613" spans="24:24" ht="15.75" customHeight="1">
      <c r="X613" s="329"/>
    </row>
    <row r="614" spans="24:24" ht="15.75" customHeight="1">
      <c r="X614" s="329"/>
    </row>
    <row r="615" spans="24:24" ht="15.75" customHeight="1">
      <c r="X615" s="329"/>
    </row>
    <row r="616" spans="24:24" ht="15.75" customHeight="1">
      <c r="X616" s="329"/>
    </row>
    <row r="617" spans="24:24" ht="15.75" customHeight="1">
      <c r="X617" s="329"/>
    </row>
    <row r="618" spans="24:24" ht="15.75" customHeight="1">
      <c r="X618" s="329"/>
    </row>
    <row r="619" spans="24:24" ht="15.75" customHeight="1">
      <c r="X619" s="329"/>
    </row>
    <row r="620" spans="24:24" ht="15.75" customHeight="1">
      <c r="X620" s="329"/>
    </row>
    <row r="621" spans="24:24" ht="15.75" customHeight="1">
      <c r="X621" s="329"/>
    </row>
    <row r="622" spans="24:24" ht="15.75" customHeight="1">
      <c r="X622" s="329"/>
    </row>
    <row r="623" spans="24:24" ht="15.75" customHeight="1">
      <c r="X623" s="329"/>
    </row>
    <row r="624" spans="24:24" ht="15.75" customHeight="1">
      <c r="X624" s="329"/>
    </row>
    <row r="625" spans="24:24" ht="15.75" customHeight="1">
      <c r="X625" s="329"/>
    </row>
    <row r="626" spans="24:24" ht="15.75" customHeight="1">
      <c r="X626" s="329"/>
    </row>
    <row r="627" spans="24:24" ht="15.75" customHeight="1">
      <c r="X627" s="329"/>
    </row>
    <row r="628" spans="24:24" ht="15.75" customHeight="1">
      <c r="X628" s="329"/>
    </row>
    <row r="629" spans="24:24" ht="15.75" customHeight="1">
      <c r="X629" s="329"/>
    </row>
    <row r="630" spans="24:24" ht="15.75" customHeight="1">
      <c r="X630" s="329"/>
    </row>
    <row r="631" spans="24:24" ht="15.75" customHeight="1">
      <c r="X631" s="329"/>
    </row>
    <row r="632" spans="24:24" ht="15.75" customHeight="1">
      <c r="X632" s="329"/>
    </row>
    <row r="633" spans="24:24" ht="15.75" customHeight="1">
      <c r="X633" s="329"/>
    </row>
    <row r="634" spans="24:24" ht="15.75" customHeight="1">
      <c r="X634" s="329"/>
    </row>
    <row r="635" spans="24:24" ht="15.75" customHeight="1">
      <c r="X635" s="329"/>
    </row>
    <row r="636" spans="24:24" ht="15.75" customHeight="1">
      <c r="X636" s="329"/>
    </row>
    <row r="637" spans="24:24" ht="15.75" customHeight="1">
      <c r="X637" s="329"/>
    </row>
    <row r="638" spans="24:24" ht="15.75" customHeight="1">
      <c r="X638" s="329"/>
    </row>
    <row r="639" spans="24:24" ht="15.75" customHeight="1">
      <c r="X639" s="329"/>
    </row>
    <row r="640" spans="24:24" ht="15.75" customHeight="1">
      <c r="X640" s="329"/>
    </row>
    <row r="641" spans="24:24" ht="15.75" customHeight="1">
      <c r="X641" s="329"/>
    </row>
    <row r="642" spans="24:24" ht="15.75" customHeight="1">
      <c r="X642" s="329"/>
    </row>
    <row r="643" spans="24:24" ht="15.75" customHeight="1">
      <c r="X643" s="329"/>
    </row>
    <row r="644" spans="24:24" ht="15.75" customHeight="1">
      <c r="X644" s="329"/>
    </row>
    <row r="645" spans="24:24" ht="15.75" customHeight="1">
      <c r="X645" s="329"/>
    </row>
    <row r="646" spans="24:24" ht="15.75" customHeight="1">
      <c r="X646" s="329"/>
    </row>
    <row r="647" spans="24:24" ht="15.75" customHeight="1">
      <c r="X647" s="329"/>
    </row>
    <row r="648" spans="24:24" ht="15.75" customHeight="1">
      <c r="X648" s="329"/>
    </row>
    <row r="649" spans="24:24" ht="15.75" customHeight="1">
      <c r="X649" s="329"/>
    </row>
    <row r="650" spans="24:24" ht="15.75" customHeight="1">
      <c r="X650" s="329"/>
    </row>
    <row r="651" spans="24:24" ht="15.75" customHeight="1">
      <c r="X651" s="329"/>
    </row>
    <row r="652" spans="24:24" ht="15.75" customHeight="1">
      <c r="X652" s="329"/>
    </row>
    <row r="653" spans="24:24" ht="15.75" customHeight="1">
      <c r="X653" s="329"/>
    </row>
    <row r="654" spans="24:24" ht="15.75" customHeight="1">
      <c r="X654" s="329"/>
    </row>
    <row r="655" spans="24:24" ht="15.75" customHeight="1">
      <c r="X655" s="329"/>
    </row>
    <row r="656" spans="24:24" ht="15.75" customHeight="1">
      <c r="X656" s="329"/>
    </row>
    <row r="657" spans="24:24" ht="15.75" customHeight="1">
      <c r="X657" s="329"/>
    </row>
    <row r="658" spans="24:24" ht="15.75" customHeight="1">
      <c r="X658" s="329"/>
    </row>
    <row r="659" spans="24:24" ht="15.75" customHeight="1">
      <c r="X659" s="329"/>
    </row>
    <row r="660" spans="24:24" ht="15.75" customHeight="1">
      <c r="X660" s="329"/>
    </row>
    <row r="661" spans="24:24" ht="15.75" customHeight="1">
      <c r="X661" s="329"/>
    </row>
    <row r="662" spans="24:24" ht="15.75" customHeight="1">
      <c r="X662" s="329"/>
    </row>
    <row r="663" spans="24:24" ht="15.75" customHeight="1">
      <c r="X663" s="329"/>
    </row>
    <row r="664" spans="24:24" ht="15.75" customHeight="1">
      <c r="X664" s="329"/>
    </row>
    <row r="665" spans="24:24" ht="15.75" customHeight="1">
      <c r="X665" s="329"/>
    </row>
    <row r="666" spans="24:24" ht="15.75" customHeight="1">
      <c r="X666" s="329"/>
    </row>
    <row r="667" spans="24:24" ht="15.75" customHeight="1">
      <c r="X667" s="329"/>
    </row>
    <row r="668" spans="24:24" ht="15.75" customHeight="1">
      <c r="X668" s="329"/>
    </row>
    <row r="669" spans="24:24" ht="15.75" customHeight="1">
      <c r="X669" s="329"/>
    </row>
    <row r="670" spans="24:24" ht="15.75" customHeight="1">
      <c r="X670" s="329"/>
    </row>
    <row r="671" spans="24:24" ht="15.75" customHeight="1">
      <c r="X671" s="329"/>
    </row>
    <row r="672" spans="24:24" ht="15.75" customHeight="1">
      <c r="X672" s="329"/>
    </row>
    <row r="673" spans="24:24" ht="15.75" customHeight="1">
      <c r="X673" s="329"/>
    </row>
    <row r="674" spans="24:24" ht="15.75" customHeight="1">
      <c r="X674" s="329"/>
    </row>
    <row r="675" spans="24:24" ht="15.75" customHeight="1">
      <c r="X675" s="329"/>
    </row>
    <row r="676" spans="24:24" ht="15.75" customHeight="1">
      <c r="X676" s="329"/>
    </row>
    <row r="677" spans="24:24" ht="15.75" customHeight="1">
      <c r="X677" s="329"/>
    </row>
    <row r="678" spans="24:24" ht="15.75" customHeight="1">
      <c r="X678" s="329"/>
    </row>
    <row r="679" spans="24:24" ht="15.75" customHeight="1">
      <c r="X679" s="329"/>
    </row>
    <row r="680" spans="24:24" ht="15.75" customHeight="1">
      <c r="X680" s="329"/>
    </row>
    <row r="681" spans="24:24" ht="15.75" customHeight="1">
      <c r="X681" s="329"/>
    </row>
    <row r="682" spans="24:24" ht="15.75" customHeight="1">
      <c r="X682" s="329"/>
    </row>
    <row r="683" spans="24:24" ht="15.75" customHeight="1">
      <c r="X683" s="329"/>
    </row>
    <row r="684" spans="24:24" ht="15.75" customHeight="1">
      <c r="X684" s="329"/>
    </row>
    <row r="685" spans="24:24" ht="15.75" customHeight="1">
      <c r="X685" s="329"/>
    </row>
    <row r="686" spans="24:24" ht="15.75" customHeight="1">
      <c r="X686" s="329"/>
    </row>
    <row r="687" spans="24:24" ht="15.75" customHeight="1">
      <c r="X687" s="329"/>
    </row>
    <row r="688" spans="24:24" ht="15.75" customHeight="1">
      <c r="X688" s="329"/>
    </row>
    <row r="689" spans="24:24" ht="15.75" customHeight="1">
      <c r="X689" s="329"/>
    </row>
    <row r="690" spans="24:24" ht="15.75" customHeight="1">
      <c r="X690" s="329"/>
    </row>
    <row r="691" spans="24:24" ht="15.75" customHeight="1">
      <c r="X691" s="329"/>
    </row>
    <row r="692" spans="24:24" ht="15.75" customHeight="1">
      <c r="X692" s="329"/>
    </row>
    <row r="693" spans="24:24" ht="15.75" customHeight="1">
      <c r="X693" s="329"/>
    </row>
    <row r="694" spans="24:24" ht="15.75" customHeight="1">
      <c r="X694" s="329"/>
    </row>
    <row r="695" spans="24:24" ht="15.75" customHeight="1">
      <c r="X695" s="329"/>
    </row>
    <row r="696" spans="24:24" ht="15.75" customHeight="1">
      <c r="X696" s="329"/>
    </row>
    <row r="697" spans="24:24" ht="15.75" customHeight="1">
      <c r="X697" s="329"/>
    </row>
    <row r="698" spans="24:24" ht="15.75" customHeight="1">
      <c r="X698" s="329"/>
    </row>
    <row r="699" spans="24:24" ht="15.75" customHeight="1">
      <c r="X699" s="329"/>
    </row>
    <row r="700" spans="24:24" ht="15.75" customHeight="1">
      <c r="X700" s="329"/>
    </row>
    <row r="701" spans="24:24" ht="15.75" customHeight="1">
      <c r="X701" s="329"/>
    </row>
    <row r="702" spans="24:24" ht="15.75" customHeight="1">
      <c r="X702" s="329"/>
    </row>
    <row r="703" spans="24:24" ht="15.75" customHeight="1">
      <c r="X703" s="329"/>
    </row>
    <row r="704" spans="24:24" ht="15.75" customHeight="1">
      <c r="X704" s="329"/>
    </row>
    <row r="705" spans="24:24" ht="15.75" customHeight="1">
      <c r="X705" s="329"/>
    </row>
    <row r="706" spans="24:24" ht="15.75" customHeight="1">
      <c r="X706" s="329"/>
    </row>
    <row r="707" spans="24:24" ht="15.75" customHeight="1">
      <c r="X707" s="329"/>
    </row>
    <row r="708" spans="24:24" ht="15.75" customHeight="1">
      <c r="X708" s="329"/>
    </row>
    <row r="709" spans="24:24" ht="15.75" customHeight="1">
      <c r="X709" s="329"/>
    </row>
    <row r="710" spans="24:24" ht="15.75" customHeight="1">
      <c r="X710" s="329"/>
    </row>
    <row r="711" spans="24:24" ht="15.75" customHeight="1">
      <c r="X711" s="329"/>
    </row>
    <row r="712" spans="24:24" ht="15.75" customHeight="1">
      <c r="X712" s="329"/>
    </row>
    <row r="713" spans="24:24" ht="15.75" customHeight="1">
      <c r="X713" s="329"/>
    </row>
    <row r="714" spans="24:24" ht="15.75" customHeight="1">
      <c r="X714" s="329"/>
    </row>
    <row r="715" spans="24:24" ht="15.75" customHeight="1">
      <c r="X715" s="329"/>
    </row>
    <row r="716" spans="24:24" ht="15.75" customHeight="1">
      <c r="X716" s="329"/>
    </row>
    <row r="717" spans="24:24" ht="15.75" customHeight="1">
      <c r="X717" s="329"/>
    </row>
    <row r="718" spans="24:24" ht="15.75" customHeight="1">
      <c r="X718" s="329"/>
    </row>
    <row r="719" spans="24:24" ht="15.75" customHeight="1">
      <c r="X719" s="329"/>
    </row>
    <row r="720" spans="24:24" ht="15.75" customHeight="1">
      <c r="X720" s="329"/>
    </row>
    <row r="721" spans="24:24" ht="15.75" customHeight="1">
      <c r="X721" s="329"/>
    </row>
    <row r="722" spans="24:24" ht="15.75" customHeight="1">
      <c r="X722" s="329"/>
    </row>
    <row r="723" spans="24:24" ht="15.75" customHeight="1">
      <c r="X723" s="329"/>
    </row>
    <row r="724" spans="24:24" ht="15.75" customHeight="1">
      <c r="X724" s="329"/>
    </row>
    <row r="725" spans="24:24" ht="15.75" customHeight="1">
      <c r="X725" s="329"/>
    </row>
    <row r="726" spans="24:24" ht="15.75" customHeight="1">
      <c r="X726" s="329"/>
    </row>
    <row r="727" spans="24:24" ht="15.75" customHeight="1">
      <c r="X727" s="329"/>
    </row>
    <row r="728" spans="24:24" ht="15.75" customHeight="1">
      <c r="X728" s="329"/>
    </row>
    <row r="729" spans="24:24" ht="15.75" customHeight="1">
      <c r="X729" s="329"/>
    </row>
    <row r="730" spans="24:24" ht="15.75" customHeight="1">
      <c r="X730" s="329"/>
    </row>
    <row r="731" spans="24:24" ht="15.75" customHeight="1">
      <c r="X731" s="329"/>
    </row>
    <row r="732" spans="24:24" ht="15.75" customHeight="1">
      <c r="X732" s="329"/>
    </row>
    <row r="733" spans="24:24" ht="15.75" customHeight="1">
      <c r="X733" s="329"/>
    </row>
    <row r="734" spans="24:24" ht="15.75" customHeight="1">
      <c r="X734" s="329"/>
    </row>
    <row r="735" spans="24:24" ht="15.75" customHeight="1">
      <c r="X735" s="329"/>
    </row>
    <row r="736" spans="24:24" ht="15.75" customHeight="1">
      <c r="X736" s="329"/>
    </row>
    <row r="737" spans="24:24" ht="15.75" customHeight="1">
      <c r="X737" s="329"/>
    </row>
    <row r="738" spans="24:24" ht="15.75" customHeight="1">
      <c r="X738" s="329"/>
    </row>
    <row r="739" spans="24:24" ht="15.75" customHeight="1">
      <c r="X739" s="329"/>
    </row>
    <row r="740" spans="24:24" ht="15.75" customHeight="1">
      <c r="X740" s="329"/>
    </row>
    <row r="741" spans="24:24" ht="15.75" customHeight="1">
      <c r="X741" s="329"/>
    </row>
    <row r="742" spans="24:24" ht="15.75" customHeight="1">
      <c r="X742" s="329"/>
    </row>
    <row r="743" spans="24:24" ht="15.75" customHeight="1">
      <c r="X743" s="329"/>
    </row>
    <row r="744" spans="24:24" ht="15.75" customHeight="1">
      <c r="X744" s="329"/>
    </row>
    <row r="745" spans="24:24" ht="15.75" customHeight="1">
      <c r="X745" s="329"/>
    </row>
    <row r="746" spans="24:24" ht="15.75" customHeight="1">
      <c r="X746" s="329"/>
    </row>
    <row r="747" spans="24:24" ht="15.75" customHeight="1">
      <c r="X747" s="329"/>
    </row>
    <row r="748" spans="24:24" ht="15.75" customHeight="1">
      <c r="X748" s="329"/>
    </row>
    <row r="749" spans="24:24" ht="15.75" customHeight="1">
      <c r="X749" s="329"/>
    </row>
    <row r="750" spans="24:24" ht="15.75" customHeight="1">
      <c r="X750" s="329"/>
    </row>
    <row r="751" spans="24:24" ht="15.75" customHeight="1">
      <c r="X751" s="329"/>
    </row>
    <row r="752" spans="24:24" ht="15.75" customHeight="1">
      <c r="X752" s="329"/>
    </row>
    <row r="753" spans="24:24" ht="15.75" customHeight="1">
      <c r="X753" s="329"/>
    </row>
    <row r="754" spans="24:24" ht="15.75" customHeight="1">
      <c r="X754" s="329"/>
    </row>
    <row r="755" spans="24:24" ht="15.75" customHeight="1">
      <c r="X755" s="329"/>
    </row>
    <row r="756" spans="24:24" ht="15.75" customHeight="1">
      <c r="X756" s="329"/>
    </row>
    <row r="757" spans="24:24" ht="15.75" customHeight="1">
      <c r="X757" s="329"/>
    </row>
    <row r="758" spans="24:24" ht="15.75" customHeight="1">
      <c r="X758" s="329"/>
    </row>
    <row r="759" spans="24:24" ht="15.75" customHeight="1">
      <c r="X759" s="329"/>
    </row>
    <row r="760" spans="24:24" ht="15.75" customHeight="1">
      <c r="X760" s="329"/>
    </row>
    <row r="761" spans="24:24" ht="15.75" customHeight="1">
      <c r="X761" s="329"/>
    </row>
    <row r="762" spans="24:24" ht="15.75" customHeight="1">
      <c r="X762" s="329"/>
    </row>
    <row r="763" spans="24:24" ht="15.75" customHeight="1">
      <c r="X763" s="329"/>
    </row>
    <row r="764" spans="24:24" ht="15.75" customHeight="1">
      <c r="X764" s="329"/>
    </row>
    <row r="765" spans="24:24" ht="15.75" customHeight="1">
      <c r="X765" s="329"/>
    </row>
    <row r="766" spans="24:24" ht="15.75" customHeight="1">
      <c r="X766" s="329"/>
    </row>
    <row r="767" spans="24:24" ht="15.75" customHeight="1">
      <c r="X767" s="329"/>
    </row>
    <row r="768" spans="24:24" ht="15.75" customHeight="1">
      <c r="X768" s="329"/>
    </row>
    <row r="769" spans="24:24" ht="15.75" customHeight="1">
      <c r="X769" s="329"/>
    </row>
    <row r="770" spans="24:24" ht="15.75" customHeight="1">
      <c r="X770" s="329"/>
    </row>
    <row r="771" spans="24:24" ht="15.75" customHeight="1">
      <c r="X771" s="329"/>
    </row>
    <row r="772" spans="24:24" ht="15.75" customHeight="1">
      <c r="X772" s="329"/>
    </row>
    <row r="773" spans="24:24" ht="15.75" customHeight="1">
      <c r="X773" s="329"/>
    </row>
    <row r="774" spans="24:24" ht="15.75" customHeight="1">
      <c r="X774" s="329"/>
    </row>
    <row r="775" spans="24:24" ht="15.75" customHeight="1">
      <c r="X775" s="329"/>
    </row>
    <row r="776" spans="24:24" ht="15.75" customHeight="1">
      <c r="X776" s="329"/>
    </row>
    <row r="777" spans="24:24" ht="15.75" customHeight="1">
      <c r="X777" s="329"/>
    </row>
    <row r="778" spans="24:24" ht="15.75" customHeight="1">
      <c r="X778" s="329"/>
    </row>
    <row r="779" spans="24:24" ht="15.75" customHeight="1">
      <c r="X779" s="329"/>
    </row>
    <row r="780" spans="24:24" ht="15.75" customHeight="1">
      <c r="X780" s="329"/>
    </row>
    <row r="781" spans="24:24" ht="15.75" customHeight="1">
      <c r="X781" s="329"/>
    </row>
    <row r="782" spans="24:24" ht="15.75" customHeight="1">
      <c r="X782" s="329"/>
    </row>
    <row r="783" spans="24:24" ht="15.75" customHeight="1">
      <c r="X783" s="329"/>
    </row>
    <row r="784" spans="24:24" ht="15.75" customHeight="1">
      <c r="X784" s="329"/>
    </row>
    <row r="785" spans="24:24" ht="15.75" customHeight="1">
      <c r="X785" s="329"/>
    </row>
    <row r="786" spans="24:24" ht="15.75" customHeight="1">
      <c r="X786" s="329"/>
    </row>
    <row r="787" spans="24:24" ht="15.75" customHeight="1">
      <c r="X787" s="329"/>
    </row>
    <row r="788" spans="24:24" ht="15.75" customHeight="1">
      <c r="X788" s="329"/>
    </row>
    <row r="789" spans="24:24" ht="15.75" customHeight="1">
      <c r="X789" s="329"/>
    </row>
    <row r="790" spans="24:24" ht="15.75" customHeight="1">
      <c r="X790" s="329"/>
    </row>
    <row r="791" spans="24:24" ht="15.75" customHeight="1">
      <c r="X791" s="329"/>
    </row>
    <row r="792" spans="24:24" ht="15.75" customHeight="1">
      <c r="X792" s="329"/>
    </row>
    <row r="793" spans="24:24" ht="15.75" customHeight="1">
      <c r="X793" s="329"/>
    </row>
    <row r="794" spans="24:24" ht="15.75" customHeight="1">
      <c r="X794" s="329"/>
    </row>
    <row r="795" spans="24:24" ht="15.75" customHeight="1">
      <c r="X795" s="329"/>
    </row>
    <row r="796" spans="24:24" ht="15.75" customHeight="1">
      <c r="X796" s="329"/>
    </row>
    <row r="797" spans="24:24" ht="15.75" customHeight="1">
      <c r="X797" s="329"/>
    </row>
    <row r="798" spans="24:24" ht="15.75" customHeight="1">
      <c r="X798" s="329"/>
    </row>
    <row r="799" spans="24:24" ht="15.75" customHeight="1">
      <c r="X799" s="329"/>
    </row>
    <row r="800" spans="24:24" ht="15.75" customHeight="1">
      <c r="X800" s="329"/>
    </row>
    <row r="801" spans="24:24" ht="15.75" customHeight="1">
      <c r="X801" s="329"/>
    </row>
    <row r="802" spans="24:24" ht="15.75" customHeight="1">
      <c r="X802" s="329"/>
    </row>
    <row r="803" spans="24:24" ht="15.75" customHeight="1">
      <c r="X803" s="329"/>
    </row>
    <row r="804" spans="24:24" ht="15.75" customHeight="1">
      <c r="X804" s="329"/>
    </row>
    <row r="805" spans="24:24" ht="15.75" customHeight="1">
      <c r="X805" s="329"/>
    </row>
    <row r="806" spans="24:24" ht="15.75" customHeight="1">
      <c r="X806" s="329"/>
    </row>
    <row r="807" spans="24:24" ht="15.75" customHeight="1">
      <c r="X807" s="329"/>
    </row>
    <row r="808" spans="24:24" ht="15.75" customHeight="1">
      <c r="X808" s="329"/>
    </row>
    <row r="809" spans="24:24" ht="15.75" customHeight="1">
      <c r="X809" s="329"/>
    </row>
    <row r="810" spans="24:24" ht="15.75" customHeight="1">
      <c r="X810" s="329"/>
    </row>
    <row r="811" spans="24:24" ht="15.75" customHeight="1">
      <c r="X811" s="329"/>
    </row>
    <row r="812" spans="24:24" ht="15.75" customHeight="1">
      <c r="X812" s="329"/>
    </row>
    <row r="813" spans="24:24" ht="15.75" customHeight="1">
      <c r="X813" s="329"/>
    </row>
    <row r="814" spans="24:24" ht="15.75" customHeight="1">
      <c r="X814" s="329"/>
    </row>
    <row r="815" spans="24:24" ht="15.75" customHeight="1">
      <c r="X815" s="329"/>
    </row>
    <row r="816" spans="24:24" ht="15.75" customHeight="1">
      <c r="X816" s="329"/>
    </row>
    <row r="817" spans="24:24" ht="15.75" customHeight="1">
      <c r="X817" s="329"/>
    </row>
    <row r="818" spans="24:24" ht="15.75" customHeight="1">
      <c r="X818" s="329"/>
    </row>
    <row r="819" spans="24:24" ht="15.75" customHeight="1">
      <c r="X819" s="329"/>
    </row>
    <row r="820" spans="24:24" ht="15.75" customHeight="1">
      <c r="X820" s="329"/>
    </row>
    <row r="821" spans="24:24" ht="15.75" customHeight="1">
      <c r="X821" s="329"/>
    </row>
    <row r="822" spans="24:24" ht="15.75" customHeight="1">
      <c r="X822" s="329"/>
    </row>
    <row r="823" spans="24:24" ht="15.75" customHeight="1">
      <c r="X823" s="329"/>
    </row>
    <row r="824" spans="24:24" ht="15.75" customHeight="1">
      <c r="X824" s="329"/>
    </row>
    <row r="825" spans="24:24" ht="15.75" customHeight="1">
      <c r="X825" s="329"/>
    </row>
    <row r="826" spans="24:24" ht="15.75" customHeight="1">
      <c r="X826" s="329"/>
    </row>
    <row r="827" spans="24:24" ht="15.75" customHeight="1">
      <c r="X827" s="329"/>
    </row>
    <row r="828" spans="24:24" ht="15.75" customHeight="1">
      <c r="X828" s="329"/>
    </row>
    <row r="829" spans="24:24" ht="15.75" customHeight="1">
      <c r="X829" s="329"/>
    </row>
    <row r="830" spans="24:24" ht="15.75" customHeight="1">
      <c r="X830" s="329"/>
    </row>
    <row r="831" spans="24:24" ht="15.75" customHeight="1">
      <c r="X831" s="329"/>
    </row>
    <row r="832" spans="24:24" ht="15.75" customHeight="1">
      <c r="X832" s="329"/>
    </row>
    <row r="833" spans="24:24" ht="15.75" customHeight="1">
      <c r="X833" s="329"/>
    </row>
    <row r="834" spans="24:24" ht="15.75" customHeight="1">
      <c r="X834" s="329"/>
    </row>
    <row r="835" spans="24:24" ht="15.75" customHeight="1">
      <c r="X835" s="329"/>
    </row>
    <row r="836" spans="24:24" ht="15.75" customHeight="1">
      <c r="X836" s="329"/>
    </row>
    <row r="837" spans="24:24" ht="15.75" customHeight="1">
      <c r="X837" s="329"/>
    </row>
    <row r="838" spans="24:24" ht="15.75" customHeight="1">
      <c r="X838" s="329"/>
    </row>
    <row r="839" spans="24:24" ht="15.75" customHeight="1">
      <c r="X839" s="329"/>
    </row>
    <row r="840" spans="24:24" ht="15.75" customHeight="1">
      <c r="X840" s="329"/>
    </row>
    <row r="841" spans="24:24" ht="15.75" customHeight="1">
      <c r="X841" s="329"/>
    </row>
    <row r="842" spans="24:24" ht="15.75" customHeight="1">
      <c r="X842" s="329"/>
    </row>
    <row r="843" spans="24:24" ht="15.75" customHeight="1">
      <c r="X843" s="329"/>
    </row>
    <row r="844" spans="24:24" ht="15.75" customHeight="1">
      <c r="X844" s="329"/>
    </row>
    <row r="845" spans="24:24" ht="15.75" customHeight="1">
      <c r="X845" s="329"/>
    </row>
    <row r="846" spans="24:24" ht="15.75" customHeight="1">
      <c r="X846" s="329"/>
    </row>
    <row r="847" spans="24:24" ht="15.75" customHeight="1">
      <c r="X847" s="329"/>
    </row>
    <row r="848" spans="24:24" ht="15.75" customHeight="1">
      <c r="X848" s="329"/>
    </row>
    <row r="849" spans="24:24" ht="15.75" customHeight="1">
      <c r="X849" s="329"/>
    </row>
    <row r="850" spans="24:24" ht="15.75" customHeight="1">
      <c r="X850" s="329"/>
    </row>
    <row r="851" spans="24:24" ht="15.75" customHeight="1">
      <c r="X851" s="329"/>
    </row>
    <row r="852" spans="24:24" ht="15.75" customHeight="1">
      <c r="X852" s="329"/>
    </row>
    <row r="853" spans="24:24" ht="15.75" customHeight="1">
      <c r="X853" s="329"/>
    </row>
    <row r="854" spans="24:24" ht="15.75" customHeight="1">
      <c r="X854" s="329"/>
    </row>
    <row r="855" spans="24:24" ht="15.75" customHeight="1">
      <c r="X855" s="329"/>
    </row>
    <row r="856" spans="24:24" ht="15.75" customHeight="1">
      <c r="X856" s="329"/>
    </row>
    <row r="857" spans="24:24" ht="15.75" customHeight="1">
      <c r="X857" s="329"/>
    </row>
    <row r="858" spans="24:24" ht="15.75" customHeight="1">
      <c r="X858" s="329"/>
    </row>
    <row r="859" spans="24:24" ht="15.75" customHeight="1">
      <c r="X859" s="329"/>
    </row>
    <row r="860" spans="24:24" ht="15.75" customHeight="1">
      <c r="X860" s="329"/>
    </row>
    <row r="861" spans="24:24" ht="15.75" customHeight="1">
      <c r="X861" s="329"/>
    </row>
    <row r="862" spans="24:24" ht="15.75" customHeight="1">
      <c r="X862" s="329"/>
    </row>
    <row r="863" spans="24:24" ht="15.75" customHeight="1">
      <c r="X863" s="329"/>
    </row>
    <row r="864" spans="24:24" ht="15.75" customHeight="1">
      <c r="X864" s="329"/>
    </row>
    <row r="865" spans="24:24" ht="15.75" customHeight="1">
      <c r="X865" s="329"/>
    </row>
    <row r="866" spans="24:24" ht="15.75" customHeight="1">
      <c r="X866" s="329"/>
    </row>
    <row r="867" spans="24:24" ht="15.75" customHeight="1">
      <c r="X867" s="329"/>
    </row>
    <row r="868" spans="24:24" ht="15.75" customHeight="1">
      <c r="X868" s="329"/>
    </row>
    <row r="869" spans="24:24" ht="15.75" customHeight="1">
      <c r="X869" s="329"/>
    </row>
    <row r="870" spans="24:24" ht="15.75" customHeight="1">
      <c r="X870" s="329"/>
    </row>
    <row r="871" spans="24:24" ht="15.75" customHeight="1">
      <c r="X871" s="329"/>
    </row>
    <row r="872" spans="24:24" ht="15.75" customHeight="1">
      <c r="X872" s="329"/>
    </row>
    <row r="873" spans="24:24" ht="15.75" customHeight="1">
      <c r="X873" s="329"/>
    </row>
    <row r="874" spans="24:24" ht="15.75" customHeight="1">
      <c r="X874" s="329"/>
    </row>
    <row r="875" spans="24:24" ht="15.75" customHeight="1">
      <c r="X875" s="329"/>
    </row>
    <row r="876" spans="24:24" ht="15.75" customHeight="1">
      <c r="X876" s="329"/>
    </row>
    <row r="877" spans="24:24" ht="15.75" customHeight="1">
      <c r="X877" s="329"/>
    </row>
    <row r="878" spans="24:24" ht="15.75" customHeight="1">
      <c r="X878" s="329"/>
    </row>
    <row r="879" spans="24:24" ht="15.75" customHeight="1">
      <c r="X879" s="329"/>
    </row>
    <row r="880" spans="24:24" ht="15.75" customHeight="1">
      <c r="X880" s="329"/>
    </row>
    <row r="881" spans="24:24" ht="15.75" customHeight="1">
      <c r="X881" s="329"/>
    </row>
    <row r="882" spans="24:24" ht="15.75" customHeight="1">
      <c r="X882" s="329"/>
    </row>
    <row r="883" spans="24:24" ht="15.75" customHeight="1">
      <c r="X883" s="329"/>
    </row>
    <row r="884" spans="24:24" ht="15.75" customHeight="1">
      <c r="X884" s="329"/>
    </row>
    <row r="885" spans="24:24" ht="15.75" customHeight="1">
      <c r="X885" s="329"/>
    </row>
    <row r="886" spans="24:24" ht="15.75" customHeight="1">
      <c r="X886" s="329"/>
    </row>
    <row r="887" spans="24:24" ht="15.75" customHeight="1">
      <c r="X887" s="329"/>
    </row>
    <row r="888" spans="24:24" ht="15.75" customHeight="1">
      <c r="X888" s="329"/>
    </row>
    <row r="889" spans="24:24" ht="15.75" customHeight="1">
      <c r="X889" s="329"/>
    </row>
    <row r="890" spans="24:24" ht="15.75" customHeight="1">
      <c r="X890" s="329"/>
    </row>
    <row r="891" spans="24:24" ht="15.75" customHeight="1">
      <c r="X891" s="329"/>
    </row>
    <row r="892" spans="24:24" ht="15.75" customHeight="1">
      <c r="X892" s="329"/>
    </row>
    <row r="893" spans="24:24" ht="15.75" customHeight="1">
      <c r="X893" s="329"/>
    </row>
    <row r="894" spans="24:24" ht="15.75" customHeight="1">
      <c r="X894" s="329"/>
    </row>
    <row r="895" spans="24:24" ht="15.75" customHeight="1">
      <c r="X895" s="329"/>
    </row>
    <row r="896" spans="24:24" ht="15.75" customHeight="1">
      <c r="X896" s="329"/>
    </row>
    <row r="897" spans="24:24" ht="15.75" customHeight="1">
      <c r="X897" s="329"/>
    </row>
    <row r="898" spans="24:24" ht="15.75" customHeight="1">
      <c r="X898" s="329"/>
    </row>
    <row r="899" spans="24:24" ht="15.75" customHeight="1">
      <c r="X899" s="329"/>
    </row>
    <row r="900" spans="24:24" ht="15.75" customHeight="1">
      <c r="X900" s="329"/>
    </row>
    <row r="901" spans="24:24" ht="15.75" customHeight="1">
      <c r="X901" s="329"/>
    </row>
    <row r="902" spans="24:24" ht="15.75" customHeight="1">
      <c r="X902" s="329"/>
    </row>
    <row r="903" spans="24:24" ht="15.75" customHeight="1">
      <c r="X903" s="329"/>
    </row>
    <row r="904" spans="24:24" ht="15.75" customHeight="1">
      <c r="X904" s="329"/>
    </row>
    <row r="905" spans="24:24" ht="15.75" customHeight="1">
      <c r="X905" s="329"/>
    </row>
    <row r="906" spans="24:24" ht="15.75" customHeight="1">
      <c r="X906" s="329"/>
    </row>
    <row r="907" spans="24:24" ht="15.75" customHeight="1">
      <c r="X907" s="329"/>
    </row>
    <row r="908" spans="24:24" ht="15.75" customHeight="1">
      <c r="X908" s="329"/>
    </row>
    <row r="909" spans="24:24" ht="15.75" customHeight="1">
      <c r="X909" s="329"/>
    </row>
    <row r="910" spans="24:24" ht="15.75" customHeight="1">
      <c r="X910" s="329"/>
    </row>
    <row r="911" spans="24:24" ht="15.75" customHeight="1">
      <c r="X911" s="329"/>
    </row>
    <row r="912" spans="24:24" ht="15.75" customHeight="1">
      <c r="X912" s="329"/>
    </row>
    <row r="913" spans="24:24" ht="15.75" customHeight="1">
      <c r="X913" s="329"/>
    </row>
    <row r="914" spans="24:24" ht="15.75" customHeight="1">
      <c r="X914" s="329"/>
    </row>
    <row r="915" spans="24:24" ht="15.75" customHeight="1">
      <c r="X915" s="329"/>
    </row>
    <row r="916" spans="24:24" ht="15.75" customHeight="1">
      <c r="X916" s="329"/>
    </row>
    <row r="917" spans="24:24" ht="15.75" customHeight="1">
      <c r="X917" s="329"/>
    </row>
    <row r="918" spans="24:24" ht="15.75" customHeight="1">
      <c r="X918" s="329"/>
    </row>
    <row r="919" spans="24:24" ht="15.75" customHeight="1">
      <c r="X919" s="329"/>
    </row>
    <row r="920" spans="24:24" ht="15.75" customHeight="1">
      <c r="X920" s="329"/>
    </row>
    <row r="921" spans="24:24" ht="15.75" customHeight="1">
      <c r="X921" s="329"/>
    </row>
    <row r="922" spans="24:24" ht="15.75" customHeight="1">
      <c r="X922" s="329"/>
    </row>
    <row r="923" spans="24:24" ht="15.75" customHeight="1">
      <c r="X923" s="329"/>
    </row>
    <row r="924" spans="24:24" ht="15.75" customHeight="1">
      <c r="X924" s="329"/>
    </row>
    <row r="925" spans="24:24" ht="15.75" customHeight="1">
      <c r="X925" s="329"/>
    </row>
    <row r="926" spans="24:24" ht="15.75" customHeight="1">
      <c r="X926" s="329"/>
    </row>
    <row r="927" spans="24:24" ht="15.75" customHeight="1">
      <c r="X927" s="329"/>
    </row>
    <row r="928" spans="24:24" ht="15.75" customHeight="1">
      <c r="X928" s="329"/>
    </row>
    <row r="929" spans="24:24" ht="15.75" customHeight="1">
      <c r="X929" s="329"/>
    </row>
    <row r="930" spans="24:24" ht="15.75" customHeight="1">
      <c r="X930" s="329"/>
    </row>
    <row r="931" spans="24:24" ht="15.75" customHeight="1">
      <c r="X931" s="329"/>
    </row>
    <row r="932" spans="24:24" ht="15.75" customHeight="1">
      <c r="X932" s="329"/>
    </row>
    <row r="933" spans="24:24" ht="15.75" customHeight="1">
      <c r="X933" s="329"/>
    </row>
    <row r="934" spans="24:24" ht="15.75" customHeight="1">
      <c r="X934" s="329"/>
    </row>
    <row r="935" spans="24:24" ht="15.75" customHeight="1">
      <c r="X935" s="329"/>
    </row>
    <row r="936" spans="24:24" ht="15.75" customHeight="1">
      <c r="X936" s="329"/>
    </row>
    <row r="937" spans="24:24" ht="15.75" customHeight="1">
      <c r="X937" s="329"/>
    </row>
    <row r="938" spans="24:24" ht="15.75" customHeight="1">
      <c r="X938" s="329"/>
    </row>
    <row r="939" spans="24:24" ht="15.75" customHeight="1">
      <c r="X939" s="329"/>
    </row>
    <row r="940" spans="24:24" ht="15.75" customHeight="1">
      <c r="X940" s="329"/>
    </row>
    <row r="941" spans="24:24" ht="15.75" customHeight="1">
      <c r="X941" s="329"/>
    </row>
    <row r="942" spans="24:24" ht="15.75" customHeight="1">
      <c r="X942" s="329"/>
    </row>
    <row r="943" spans="24:24" ht="15.75" customHeight="1">
      <c r="X943" s="329"/>
    </row>
    <row r="944" spans="24:24" ht="15.75" customHeight="1">
      <c r="X944" s="329"/>
    </row>
    <row r="945" spans="24:24" ht="15.75" customHeight="1">
      <c r="X945" s="329"/>
    </row>
    <row r="946" spans="24:24" ht="15.75" customHeight="1">
      <c r="X946" s="329"/>
    </row>
    <row r="947" spans="24:24" ht="15.75" customHeight="1">
      <c r="X947" s="329"/>
    </row>
    <row r="948" spans="24:24" ht="15.75" customHeight="1">
      <c r="X948" s="329"/>
    </row>
    <row r="949" spans="24:24" ht="15.75" customHeight="1">
      <c r="X949" s="329"/>
    </row>
    <row r="950" spans="24:24" ht="15.75" customHeight="1">
      <c r="X950" s="329"/>
    </row>
    <row r="951" spans="24:24" ht="15.75" customHeight="1">
      <c r="X951" s="329"/>
    </row>
    <row r="952" spans="24:24" ht="15.75" customHeight="1">
      <c r="X952" s="329"/>
    </row>
    <row r="953" spans="24:24" ht="15.75" customHeight="1">
      <c r="X953" s="329"/>
    </row>
    <row r="954" spans="24:24" ht="15.75" customHeight="1">
      <c r="X954" s="329"/>
    </row>
    <row r="955" spans="24:24" ht="15.75" customHeight="1">
      <c r="X955" s="329"/>
    </row>
    <row r="956" spans="24:24" ht="15.75" customHeight="1">
      <c r="X956" s="329"/>
    </row>
    <row r="957" spans="24:24" ht="15.75" customHeight="1">
      <c r="X957" s="329"/>
    </row>
    <row r="958" spans="24:24" ht="15.75" customHeight="1">
      <c r="X958" s="329"/>
    </row>
    <row r="959" spans="24:24" ht="15.75" customHeight="1">
      <c r="X959" s="329"/>
    </row>
  </sheetData>
  <mergeCells count="2">
    <mergeCell ref="L4:O4"/>
    <mergeCell ref="P4:R4"/>
  </mergeCells>
  <pageMargins left="0.7" right="0.7" top="0.75" bottom="0.75" header="0" footer="0"/>
  <pageSetup orientation="landscape"/>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X998"/>
  <sheetViews>
    <sheetView workbookViewId="0">
      <selection activeCell="C16" sqref="C16"/>
    </sheetView>
  </sheetViews>
  <sheetFormatPr defaultColWidth="12.5703125" defaultRowHeight="15" customHeight="1"/>
  <cols>
    <col min="1" max="1" width="5.7109375" customWidth="1"/>
    <col min="2" max="2" width="27.85546875" customWidth="1"/>
    <col min="3" max="3" width="13.5703125" customWidth="1"/>
    <col min="4" max="4" width="14.7109375" customWidth="1"/>
    <col min="5" max="5" width="12.85546875" customWidth="1"/>
    <col min="6" max="6" width="10.42578125" customWidth="1"/>
    <col min="7" max="7" width="12.7109375" customWidth="1"/>
    <col min="8" max="8" width="1.7109375" customWidth="1"/>
    <col min="9" max="9" width="44.28515625" customWidth="1"/>
    <col min="10" max="10" width="2" customWidth="1"/>
    <col min="11" max="11" width="10.42578125" customWidth="1"/>
    <col min="12" max="12" width="12.28515625" customWidth="1"/>
    <col min="13" max="13" width="10.85546875" customWidth="1"/>
    <col min="14" max="15" width="11.140625" customWidth="1"/>
    <col min="16" max="16" width="10.5703125" customWidth="1"/>
    <col min="17" max="17" width="10.7109375" customWidth="1"/>
    <col min="18" max="19" width="11.42578125" customWidth="1"/>
    <col min="20" max="21" width="11.140625" customWidth="1"/>
    <col min="22" max="22" width="10.42578125" customWidth="1"/>
    <col min="23" max="23" width="2" customWidth="1"/>
    <col min="24" max="24" width="13.42578125" customWidth="1"/>
  </cols>
  <sheetData>
    <row r="1" spans="1:24" ht="15.75" customHeight="1">
      <c r="A1" s="128" t="s">
        <v>122</v>
      </c>
      <c r="B1" s="129"/>
      <c r="C1" s="292"/>
      <c r="D1" s="129"/>
      <c r="E1" s="129"/>
      <c r="F1" s="129"/>
      <c r="G1" s="129"/>
      <c r="H1" s="129"/>
      <c r="I1" s="129"/>
      <c r="J1" s="129"/>
      <c r="K1" s="129"/>
      <c r="L1" s="130"/>
      <c r="M1" s="129"/>
      <c r="N1" s="129"/>
      <c r="O1" s="129"/>
      <c r="P1" s="129"/>
      <c r="Q1" s="129"/>
      <c r="R1" s="129"/>
      <c r="S1" s="131"/>
      <c r="T1" s="131"/>
      <c r="U1" s="129"/>
      <c r="V1" s="177"/>
      <c r="W1" s="165"/>
      <c r="X1" s="132"/>
    </row>
    <row r="2" spans="1:24" ht="15.75" customHeight="1">
      <c r="A2" s="128" t="s">
        <v>303</v>
      </c>
      <c r="B2" s="129"/>
      <c r="C2" s="292"/>
      <c r="D2" s="129"/>
      <c r="E2" s="129"/>
      <c r="F2" s="129"/>
      <c r="G2" s="129"/>
      <c r="H2" s="129"/>
      <c r="I2" s="129"/>
      <c r="J2" s="129"/>
      <c r="K2" s="129"/>
      <c r="L2" s="129"/>
      <c r="M2" s="129"/>
      <c r="N2" s="129"/>
      <c r="O2" s="129"/>
      <c r="P2" s="129"/>
      <c r="Q2" s="129"/>
      <c r="R2" s="129"/>
      <c r="S2" s="129"/>
      <c r="T2" s="129"/>
      <c r="U2" s="129"/>
      <c r="V2" s="177"/>
      <c r="W2" s="165"/>
      <c r="X2" s="132"/>
    </row>
    <row r="3" spans="1:24" ht="15.75" customHeight="1">
      <c r="A3" s="293"/>
      <c r="B3" s="294"/>
      <c r="C3" s="292"/>
      <c r="D3" s="129"/>
      <c r="E3" s="129"/>
      <c r="F3" s="129"/>
      <c r="G3" s="129"/>
      <c r="H3" s="129"/>
      <c r="I3" s="129"/>
      <c r="J3" s="129"/>
      <c r="K3" s="129"/>
      <c r="L3" s="129"/>
      <c r="M3" s="129"/>
      <c r="N3" s="135"/>
      <c r="O3" s="135"/>
      <c r="P3" s="129"/>
      <c r="Q3" s="129"/>
      <c r="R3" s="129"/>
      <c r="S3" s="129"/>
      <c r="T3" s="129"/>
      <c r="U3" s="129"/>
      <c r="V3" s="177"/>
      <c r="W3" s="165"/>
      <c r="X3" s="132"/>
    </row>
    <row r="4" spans="1:24" ht="38.25" customHeight="1">
      <c r="A4" s="128" t="s">
        <v>126</v>
      </c>
      <c r="B4" s="129"/>
      <c r="C4" s="137" t="s">
        <v>127</v>
      </c>
      <c r="D4" s="140" t="s">
        <v>128</v>
      </c>
      <c r="E4" s="140" t="s">
        <v>129</v>
      </c>
      <c r="F4" s="140" t="s">
        <v>130</v>
      </c>
      <c r="G4" s="140" t="s">
        <v>131</v>
      </c>
      <c r="H4" s="298"/>
      <c r="I4" s="299" t="s">
        <v>298</v>
      </c>
      <c r="J4" s="330"/>
      <c r="K4" s="142">
        <v>45474</v>
      </c>
      <c r="L4" s="142">
        <v>45505</v>
      </c>
      <c r="M4" s="142">
        <v>45536</v>
      </c>
      <c r="N4" s="142">
        <v>45931</v>
      </c>
      <c r="O4" s="142">
        <v>45597</v>
      </c>
      <c r="P4" s="142">
        <v>45627</v>
      </c>
      <c r="Q4" s="142">
        <v>45658</v>
      </c>
      <c r="R4" s="142">
        <v>45689</v>
      </c>
      <c r="S4" s="142">
        <v>45717</v>
      </c>
      <c r="T4" s="142">
        <v>45748</v>
      </c>
      <c r="U4" s="331">
        <v>45778</v>
      </c>
      <c r="V4" s="331">
        <v>45809</v>
      </c>
      <c r="W4" s="332"/>
      <c r="X4" s="144" t="s">
        <v>132</v>
      </c>
    </row>
    <row r="5" spans="1:24" ht="15.75" customHeight="1">
      <c r="A5" s="128"/>
      <c r="B5" s="129"/>
      <c r="C5" s="292">
        <v>0</v>
      </c>
      <c r="D5" s="210"/>
      <c r="E5" s="210"/>
      <c r="F5" s="210"/>
      <c r="G5" s="210"/>
      <c r="H5" s="249"/>
      <c r="I5" s="210"/>
      <c r="J5" s="333"/>
      <c r="K5" s="214">
        <v>0</v>
      </c>
      <c r="L5" s="214">
        <f t="shared" ref="L5:M5" si="0">$C$5/10</f>
        <v>0</v>
      </c>
      <c r="M5" s="214">
        <f t="shared" si="0"/>
        <v>0</v>
      </c>
      <c r="N5" s="214"/>
      <c r="O5" s="214">
        <f t="shared" ref="O5:U5" si="1">$C$5/10</f>
        <v>0</v>
      </c>
      <c r="P5" s="214">
        <f t="shared" si="1"/>
        <v>0</v>
      </c>
      <c r="Q5" s="214">
        <f t="shared" si="1"/>
        <v>0</v>
      </c>
      <c r="R5" s="214">
        <f t="shared" si="1"/>
        <v>0</v>
      </c>
      <c r="S5" s="214">
        <f t="shared" si="1"/>
        <v>0</v>
      </c>
      <c r="T5" s="214">
        <f t="shared" si="1"/>
        <v>0</v>
      </c>
      <c r="U5" s="214">
        <f t="shared" si="1"/>
        <v>0</v>
      </c>
      <c r="V5" s="252">
        <v>0</v>
      </c>
      <c r="W5" s="334"/>
      <c r="X5" s="230"/>
    </row>
    <row r="6" spans="1:24" ht="15.75" customHeight="1">
      <c r="A6" s="128" t="s">
        <v>153</v>
      </c>
      <c r="B6" s="128"/>
      <c r="C6" s="335">
        <f>SUM(C5)</f>
        <v>0</v>
      </c>
      <c r="D6" s="336"/>
      <c r="E6" s="336"/>
      <c r="F6" s="336"/>
      <c r="G6" s="336"/>
      <c r="H6" s="337"/>
      <c r="I6" s="336"/>
      <c r="J6" s="338"/>
      <c r="K6" s="339">
        <f t="shared" ref="K6:V6" si="2">SUM(K5)</f>
        <v>0</v>
      </c>
      <c r="L6" s="339">
        <f t="shared" si="2"/>
        <v>0</v>
      </c>
      <c r="M6" s="339">
        <f t="shared" si="2"/>
        <v>0</v>
      </c>
      <c r="N6" s="339">
        <f t="shared" si="2"/>
        <v>0</v>
      </c>
      <c r="O6" s="339">
        <f t="shared" si="2"/>
        <v>0</v>
      </c>
      <c r="P6" s="339">
        <f t="shared" si="2"/>
        <v>0</v>
      </c>
      <c r="Q6" s="339">
        <f t="shared" si="2"/>
        <v>0</v>
      </c>
      <c r="R6" s="339">
        <f t="shared" si="2"/>
        <v>0</v>
      </c>
      <c r="S6" s="339">
        <f t="shared" si="2"/>
        <v>0</v>
      </c>
      <c r="T6" s="339">
        <f t="shared" si="2"/>
        <v>0</v>
      </c>
      <c r="U6" s="339">
        <f t="shared" si="2"/>
        <v>0</v>
      </c>
      <c r="V6" s="340">
        <f t="shared" si="2"/>
        <v>0</v>
      </c>
      <c r="W6" s="341"/>
      <c r="X6" s="342"/>
    </row>
    <row r="7" spans="1:24" ht="15.75" customHeight="1">
      <c r="A7" s="128"/>
      <c r="B7" s="129"/>
      <c r="C7" s="292"/>
      <c r="D7" s="135"/>
      <c r="E7" s="135"/>
      <c r="F7" s="135"/>
      <c r="G7" s="135"/>
      <c r="H7" s="135"/>
      <c r="I7" s="135"/>
      <c r="J7" s="135"/>
      <c r="K7" s="135"/>
      <c r="L7" s="135"/>
      <c r="M7" s="135"/>
      <c r="N7" s="135"/>
      <c r="O7" s="135"/>
      <c r="P7" s="135"/>
      <c r="Q7" s="135"/>
      <c r="R7" s="135"/>
      <c r="S7" s="135"/>
      <c r="T7" s="135"/>
      <c r="U7" s="135"/>
      <c r="V7" s="343"/>
      <c r="W7" s="198"/>
      <c r="X7" s="198"/>
    </row>
    <row r="8" spans="1:24" ht="29.25" customHeight="1">
      <c r="A8" s="128" t="s">
        <v>154</v>
      </c>
      <c r="B8" s="129"/>
      <c r="C8" s="137"/>
      <c r="D8" s="140"/>
      <c r="E8" s="140"/>
      <c r="F8" s="140"/>
      <c r="G8" s="140"/>
      <c r="H8" s="344"/>
      <c r="I8" s="344"/>
      <c r="J8" s="295"/>
      <c r="K8" s="295"/>
      <c r="L8" s="295"/>
      <c r="M8" s="295"/>
      <c r="N8" s="295"/>
      <c r="O8" s="295"/>
      <c r="P8" s="295"/>
      <c r="Q8" s="295"/>
      <c r="R8" s="295"/>
      <c r="S8" s="295"/>
      <c r="T8" s="295"/>
      <c r="U8" s="295"/>
      <c r="V8" s="345"/>
      <c r="W8" s="229"/>
      <c r="X8" s="229"/>
    </row>
    <row r="9" spans="1:24" ht="15.75" customHeight="1">
      <c r="A9" s="128"/>
      <c r="B9" s="346" t="s">
        <v>304</v>
      </c>
      <c r="C9" s="347">
        <v>2400</v>
      </c>
      <c r="D9" s="67">
        <v>0</v>
      </c>
      <c r="E9" s="67">
        <v>2400</v>
      </c>
      <c r="F9" s="67">
        <v>3000</v>
      </c>
      <c r="G9" s="67">
        <f t="shared" ref="G9:G11" si="3">F9-C9</f>
        <v>600</v>
      </c>
      <c r="H9" s="317"/>
      <c r="I9" s="67"/>
      <c r="J9" s="317"/>
      <c r="K9" s="348">
        <v>3000</v>
      </c>
      <c r="L9" s="349">
        <v>0</v>
      </c>
      <c r="M9" s="349">
        <v>0</v>
      </c>
      <c r="N9" s="349">
        <v>0</v>
      </c>
      <c r="O9" s="349">
        <v>0</v>
      </c>
      <c r="P9" s="349">
        <v>0</v>
      </c>
      <c r="Q9" s="349">
        <v>0</v>
      </c>
      <c r="R9" s="349">
        <v>0</v>
      </c>
      <c r="S9" s="349">
        <v>0</v>
      </c>
      <c r="T9" s="349">
        <v>0</v>
      </c>
      <c r="U9" s="349">
        <v>0</v>
      </c>
      <c r="V9" s="348">
        <v>0</v>
      </c>
      <c r="W9" s="350"/>
      <c r="X9" s="229">
        <f t="shared" ref="X9:X11" si="4">SUM(K9:V9)</f>
        <v>3000</v>
      </c>
    </row>
    <row r="10" spans="1:24" ht="15.75" customHeight="1">
      <c r="A10" s="128"/>
      <c r="B10" s="129" t="s">
        <v>87</v>
      </c>
      <c r="C10" s="320">
        <v>2000</v>
      </c>
      <c r="D10" s="351">
        <v>1083</v>
      </c>
      <c r="E10" s="351">
        <f>150*5</f>
        <v>750</v>
      </c>
      <c r="F10" s="351">
        <f>150*10</f>
        <v>1500</v>
      </c>
      <c r="G10" s="67">
        <f t="shared" si="3"/>
        <v>-500</v>
      </c>
      <c r="H10" s="211"/>
      <c r="I10" s="351"/>
      <c r="J10" s="211"/>
      <c r="K10" s="212">
        <v>0</v>
      </c>
      <c r="L10" s="212">
        <f t="shared" ref="L10:U10" si="5">$F$10/10</f>
        <v>150</v>
      </c>
      <c r="M10" s="212">
        <f t="shared" si="5"/>
        <v>150</v>
      </c>
      <c r="N10" s="212">
        <f t="shared" si="5"/>
        <v>150</v>
      </c>
      <c r="O10" s="212">
        <f t="shared" si="5"/>
        <v>150</v>
      </c>
      <c r="P10" s="212">
        <f t="shared" si="5"/>
        <v>150</v>
      </c>
      <c r="Q10" s="212">
        <f t="shared" si="5"/>
        <v>150</v>
      </c>
      <c r="R10" s="212">
        <f t="shared" si="5"/>
        <v>150</v>
      </c>
      <c r="S10" s="212">
        <f t="shared" si="5"/>
        <v>150</v>
      </c>
      <c r="T10" s="212">
        <f t="shared" si="5"/>
        <v>150</v>
      </c>
      <c r="U10" s="212">
        <f t="shared" si="5"/>
        <v>150</v>
      </c>
      <c r="V10" s="352">
        <v>0</v>
      </c>
      <c r="W10" s="350"/>
      <c r="X10" s="229">
        <f t="shared" si="4"/>
        <v>1500</v>
      </c>
    </row>
    <row r="11" spans="1:24" ht="15.75" customHeight="1">
      <c r="A11" s="128" t="s">
        <v>305</v>
      </c>
      <c r="B11" s="128"/>
      <c r="C11" s="216">
        <f t="shared" ref="C11:F11" si="6">C9+C10</f>
        <v>4400</v>
      </c>
      <c r="D11" s="321">
        <f t="shared" si="6"/>
        <v>1083</v>
      </c>
      <c r="E11" s="321">
        <f t="shared" si="6"/>
        <v>3150</v>
      </c>
      <c r="F11" s="321">
        <f t="shared" si="6"/>
        <v>4500</v>
      </c>
      <c r="G11" s="353">
        <f t="shared" si="3"/>
        <v>100</v>
      </c>
      <c r="H11" s="219"/>
      <c r="I11" s="354"/>
      <c r="J11" s="219"/>
      <c r="K11" s="323">
        <f t="shared" ref="K11:V11" si="7">K9+K10</f>
        <v>3000</v>
      </c>
      <c r="L11" s="355">
        <f t="shared" si="7"/>
        <v>150</v>
      </c>
      <c r="M11" s="323">
        <f t="shared" si="7"/>
        <v>150</v>
      </c>
      <c r="N11" s="323">
        <f t="shared" si="7"/>
        <v>150</v>
      </c>
      <c r="O11" s="323">
        <f t="shared" si="7"/>
        <v>150</v>
      </c>
      <c r="P11" s="323">
        <f t="shared" si="7"/>
        <v>150</v>
      </c>
      <c r="Q11" s="323">
        <f t="shared" si="7"/>
        <v>150</v>
      </c>
      <c r="R11" s="323">
        <f t="shared" si="7"/>
        <v>150</v>
      </c>
      <c r="S11" s="323">
        <f t="shared" si="7"/>
        <v>150</v>
      </c>
      <c r="T11" s="323">
        <f t="shared" si="7"/>
        <v>150</v>
      </c>
      <c r="U11" s="323">
        <f t="shared" si="7"/>
        <v>150</v>
      </c>
      <c r="V11" s="323">
        <f t="shared" si="7"/>
        <v>0</v>
      </c>
      <c r="W11" s="350"/>
      <c r="X11" s="229">
        <f t="shared" si="4"/>
        <v>4500</v>
      </c>
    </row>
    <row r="12" spans="1:24" ht="15.75" customHeight="1">
      <c r="C12" s="328"/>
      <c r="D12" s="289"/>
      <c r="E12" s="289"/>
      <c r="F12" s="289"/>
      <c r="G12" s="289"/>
      <c r="H12" s="289"/>
      <c r="I12" s="289"/>
      <c r="J12" s="289"/>
      <c r="K12" s="289"/>
      <c r="L12" s="356"/>
      <c r="M12" s="289"/>
      <c r="N12" s="289"/>
      <c r="O12" s="289"/>
      <c r="P12" s="289"/>
      <c r="Q12" s="289"/>
      <c r="R12" s="289"/>
      <c r="S12" s="289"/>
      <c r="T12" s="289"/>
      <c r="U12" s="289"/>
      <c r="V12" s="289"/>
    </row>
    <row r="13" spans="1:24" ht="15.75" customHeight="1">
      <c r="C13" s="328"/>
      <c r="D13" s="289"/>
      <c r="E13" s="289"/>
      <c r="F13" s="289"/>
      <c r="G13" s="289"/>
      <c r="H13" s="289"/>
      <c r="I13" s="289"/>
      <c r="J13" s="289"/>
      <c r="K13" s="289"/>
      <c r="L13" s="289"/>
      <c r="M13" s="289"/>
      <c r="N13" s="289"/>
      <c r="O13" s="289"/>
      <c r="P13" s="289"/>
      <c r="Q13" s="289"/>
      <c r="R13" s="289"/>
      <c r="S13" s="289"/>
      <c r="T13" s="289"/>
      <c r="U13" s="289"/>
      <c r="V13" s="289"/>
    </row>
    <row r="14" spans="1:24" ht="15.75" customHeight="1">
      <c r="C14" s="328"/>
      <c r="D14" s="289"/>
      <c r="E14" s="289"/>
      <c r="F14" s="289"/>
      <c r="G14" s="289"/>
      <c r="H14" s="289"/>
      <c r="I14" s="289"/>
      <c r="J14" s="289"/>
      <c r="K14" s="289"/>
      <c r="L14" s="289"/>
      <c r="M14" s="289"/>
      <c r="N14" s="289"/>
      <c r="O14" s="289"/>
      <c r="P14" s="289"/>
      <c r="Q14" s="289"/>
      <c r="R14" s="289"/>
      <c r="S14" s="289"/>
      <c r="T14" s="289"/>
      <c r="U14" s="289"/>
      <c r="V14" s="289"/>
    </row>
    <row r="15" spans="1:24" ht="15.75" customHeight="1">
      <c r="C15" s="328"/>
      <c r="D15" s="289"/>
      <c r="E15" s="289"/>
      <c r="F15" s="289"/>
      <c r="G15" s="289"/>
      <c r="H15" s="289"/>
      <c r="I15" s="289"/>
      <c r="J15" s="289"/>
      <c r="K15" s="289"/>
      <c r="L15" s="289"/>
      <c r="M15" s="289"/>
      <c r="N15" s="289"/>
      <c r="O15" s="289"/>
      <c r="P15" s="289"/>
      <c r="Q15" s="289"/>
      <c r="R15" s="289"/>
      <c r="S15" s="289"/>
      <c r="T15" s="289"/>
      <c r="U15" s="289"/>
      <c r="V15" s="289"/>
    </row>
    <row r="16" spans="1:24" ht="15.75" customHeight="1">
      <c r="C16" s="328"/>
      <c r="D16" s="289"/>
      <c r="E16" s="289"/>
      <c r="F16" s="289"/>
      <c r="G16" s="289"/>
      <c r="H16" s="289"/>
      <c r="I16" s="289"/>
      <c r="J16" s="289"/>
      <c r="K16" s="289"/>
      <c r="L16" s="289"/>
      <c r="M16" s="289"/>
      <c r="N16" s="289"/>
      <c r="O16" s="289"/>
      <c r="P16" s="289"/>
      <c r="Q16" s="289"/>
      <c r="R16" s="289"/>
      <c r="S16" s="289"/>
      <c r="T16" s="289"/>
      <c r="U16" s="289"/>
      <c r="V16" s="289"/>
    </row>
    <row r="17" spans="3:22" ht="15.75" customHeight="1">
      <c r="C17" s="328"/>
      <c r="D17" s="289"/>
      <c r="E17" s="289"/>
      <c r="F17" s="289"/>
      <c r="G17" s="289"/>
      <c r="H17" s="289"/>
      <c r="I17" s="289"/>
      <c r="J17" s="289"/>
      <c r="K17" s="289"/>
      <c r="L17" s="289"/>
      <c r="M17" s="289"/>
      <c r="N17" s="289"/>
      <c r="O17" s="289"/>
      <c r="P17" s="289"/>
      <c r="Q17" s="289"/>
      <c r="R17" s="289"/>
      <c r="S17" s="289"/>
      <c r="T17" s="289"/>
      <c r="U17" s="289"/>
      <c r="V17" s="289"/>
    </row>
    <row r="18" spans="3:22" ht="15.75" customHeight="1">
      <c r="C18" s="328"/>
      <c r="D18" s="289"/>
      <c r="E18" s="289"/>
      <c r="F18" s="289"/>
      <c r="G18" s="289"/>
      <c r="H18" s="289"/>
      <c r="I18" s="289"/>
      <c r="J18" s="289"/>
      <c r="K18" s="289"/>
      <c r="L18" s="289"/>
      <c r="M18" s="289"/>
      <c r="N18" s="289"/>
      <c r="O18" s="289"/>
      <c r="P18" s="289"/>
      <c r="Q18" s="289"/>
      <c r="R18" s="289"/>
      <c r="S18" s="289"/>
      <c r="T18" s="289"/>
      <c r="U18" s="289"/>
      <c r="V18" s="289"/>
    </row>
    <row r="19" spans="3:22" ht="15.75" customHeight="1">
      <c r="C19" s="328"/>
      <c r="D19" s="289"/>
      <c r="E19" s="289"/>
      <c r="F19" s="289"/>
      <c r="G19" s="289"/>
      <c r="H19" s="289"/>
      <c r="I19" s="289"/>
      <c r="J19" s="289"/>
      <c r="K19" s="289"/>
      <c r="L19" s="289"/>
      <c r="M19" s="289"/>
      <c r="N19" s="289"/>
      <c r="O19" s="289"/>
      <c r="P19" s="289"/>
      <c r="Q19" s="289"/>
      <c r="R19" s="289"/>
      <c r="S19" s="289"/>
      <c r="T19" s="289"/>
      <c r="U19" s="289"/>
      <c r="V19" s="289"/>
    </row>
    <row r="20" spans="3:22" ht="15.75" customHeight="1">
      <c r="C20" s="328"/>
      <c r="D20" s="289"/>
      <c r="E20" s="289"/>
      <c r="F20" s="289"/>
      <c r="G20" s="289"/>
      <c r="H20" s="289"/>
      <c r="I20" s="289"/>
      <c r="J20" s="289"/>
      <c r="K20" s="289"/>
      <c r="L20" s="289"/>
      <c r="M20" s="289"/>
      <c r="N20" s="289"/>
      <c r="O20" s="289"/>
      <c r="P20" s="289"/>
      <c r="Q20" s="289"/>
      <c r="R20" s="289"/>
      <c r="S20" s="289"/>
      <c r="T20" s="289"/>
      <c r="U20" s="289"/>
      <c r="V20" s="289"/>
    </row>
    <row r="21" spans="3:22" ht="15.75" customHeight="1">
      <c r="C21" s="328"/>
      <c r="D21" s="289"/>
      <c r="E21" s="289"/>
      <c r="F21" s="289"/>
      <c r="G21" s="289"/>
      <c r="H21" s="289"/>
      <c r="I21" s="289"/>
      <c r="J21" s="289"/>
      <c r="K21" s="289"/>
      <c r="L21" s="289"/>
      <c r="M21" s="289"/>
      <c r="N21" s="289"/>
      <c r="O21" s="289"/>
      <c r="P21" s="289"/>
      <c r="Q21" s="289"/>
      <c r="R21" s="289"/>
      <c r="S21" s="289"/>
      <c r="T21" s="289"/>
      <c r="U21" s="289"/>
      <c r="V21" s="289"/>
    </row>
    <row r="22" spans="3:22" ht="15.75" customHeight="1">
      <c r="C22" s="328"/>
      <c r="D22" s="289"/>
      <c r="E22" s="289"/>
      <c r="F22" s="289"/>
      <c r="G22" s="289"/>
      <c r="H22" s="289"/>
      <c r="I22" s="289"/>
      <c r="J22" s="289"/>
      <c r="K22" s="289"/>
      <c r="L22" s="289"/>
      <c r="M22" s="289"/>
      <c r="N22" s="289"/>
      <c r="O22" s="289"/>
      <c r="P22" s="289"/>
      <c r="Q22" s="289"/>
      <c r="R22" s="289"/>
      <c r="S22" s="289"/>
      <c r="T22" s="289"/>
      <c r="U22" s="289"/>
      <c r="V22" s="289"/>
    </row>
    <row r="23" spans="3:22" ht="15.75" customHeight="1">
      <c r="C23" s="328"/>
      <c r="D23" s="289"/>
      <c r="E23" s="289"/>
      <c r="F23" s="289"/>
      <c r="G23" s="289"/>
      <c r="H23" s="289"/>
      <c r="I23" s="289"/>
      <c r="J23" s="289"/>
      <c r="K23" s="289"/>
      <c r="L23" s="289"/>
      <c r="M23" s="289"/>
      <c r="N23" s="289"/>
      <c r="O23" s="289"/>
      <c r="P23" s="289"/>
      <c r="Q23" s="289"/>
      <c r="R23" s="289"/>
      <c r="S23" s="289"/>
      <c r="T23" s="289"/>
      <c r="U23" s="289"/>
      <c r="V23" s="289"/>
    </row>
    <row r="24" spans="3:22" ht="15.75" customHeight="1">
      <c r="C24" s="328"/>
      <c r="D24" s="289"/>
      <c r="E24" s="289"/>
      <c r="F24" s="289"/>
      <c r="G24" s="289"/>
      <c r="H24" s="289"/>
      <c r="I24" s="289"/>
      <c r="J24" s="289"/>
      <c r="K24" s="289"/>
      <c r="L24" s="289"/>
      <c r="M24" s="289"/>
      <c r="N24" s="289"/>
      <c r="O24" s="289"/>
      <c r="P24" s="289"/>
      <c r="Q24" s="289"/>
      <c r="R24" s="289"/>
      <c r="S24" s="289"/>
      <c r="T24" s="289"/>
      <c r="U24" s="289"/>
      <c r="V24" s="289"/>
    </row>
    <row r="25" spans="3:22" ht="15.75" customHeight="1">
      <c r="C25" s="328"/>
      <c r="D25" s="289"/>
      <c r="E25" s="289"/>
      <c r="F25" s="289"/>
      <c r="G25" s="289"/>
      <c r="H25" s="289"/>
      <c r="I25" s="289"/>
      <c r="J25" s="289"/>
      <c r="K25" s="289"/>
      <c r="L25" s="289"/>
      <c r="M25" s="289"/>
      <c r="N25" s="289"/>
      <c r="O25" s="289"/>
      <c r="P25" s="289"/>
      <c r="Q25" s="289"/>
      <c r="R25" s="289"/>
      <c r="S25" s="289"/>
      <c r="T25" s="289"/>
      <c r="U25" s="289"/>
      <c r="V25" s="289"/>
    </row>
    <row r="26" spans="3:22" ht="15.75" customHeight="1">
      <c r="C26" s="328"/>
      <c r="D26" s="289"/>
      <c r="E26" s="289"/>
      <c r="F26" s="289"/>
      <c r="G26" s="289"/>
      <c r="H26" s="289"/>
      <c r="I26" s="289"/>
      <c r="J26" s="289"/>
      <c r="K26" s="289"/>
      <c r="L26" s="289"/>
      <c r="M26" s="289"/>
      <c r="N26" s="289"/>
      <c r="O26" s="289"/>
      <c r="P26" s="289"/>
      <c r="Q26" s="289"/>
      <c r="R26" s="289"/>
      <c r="S26" s="289"/>
      <c r="T26" s="289"/>
      <c r="U26" s="289"/>
      <c r="V26" s="289"/>
    </row>
    <row r="27" spans="3:22" ht="15.75" customHeight="1">
      <c r="C27" s="328"/>
      <c r="D27" s="289"/>
      <c r="E27" s="289"/>
      <c r="F27" s="289"/>
      <c r="G27" s="289"/>
      <c r="H27" s="289"/>
      <c r="I27" s="289"/>
      <c r="J27" s="289"/>
      <c r="K27" s="289"/>
      <c r="L27" s="289"/>
      <c r="M27" s="289"/>
      <c r="N27" s="289"/>
      <c r="O27" s="289"/>
      <c r="P27" s="289"/>
      <c r="Q27" s="289"/>
      <c r="R27" s="289"/>
      <c r="S27" s="289"/>
      <c r="T27" s="289"/>
      <c r="U27" s="289"/>
      <c r="V27" s="289"/>
    </row>
    <row r="28" spans="3:22" ht="15.75" customHeight="1">
      <c r="C28" s="328"/>
      <c r="D28" s="289"/>
      <c r="E28" s="289"/>
      <c r="F28" s="289"/>
      <c r="G28" s="289"/>
      <c r="H28" s="289"/>
      <c r="I28" s="289"/>
      <c r="J28" s="289"/>
      <c r="K28" s="289"/>
      <c r="L28" s="289"/>
      <c r="M28" s="289"/>
      <c r="N28" s="289"/>
      <c r="O28" s="289"/>
      <c r="P28" s="289"/>
      <c r="Q28" s="289"/>
      <c r="R28" s="289"/>
      <c r="S28" s="289"/>
      <c r="T28" s="289"/>
      <c r="U28" s="289"/>
      <c r="V28" s="289"/>
    </row>
    <row r="29" spans="3:22" ht="15.75" customHeight="1">
      <c r="C29" s="328"/>
      <c r="D29" s="289"/>
      <c r="E29" s="289"/>
      <c r="F29" s="289"/>
      <c r="G29" s="289"/>
      <c r="H29" s="289"/>
      <c r="I29" s="289"/>
      <c r="J29" s="289"/>
      <c r="K29" s="289"/>
      <c r="L29" s="289"/>
      <c r="M29" s="289"/>
      <c r="N29" s="289"/>
      <c r="O29" s="289"/>
      <c r="P29" s="289"/>
      <c r="Q29" s="289"/>
      <c r="R29" s="289"/>
      <c r="S29" s="289"/>
      <c r="T29" s="289"/>
      <c r="U29" s="289"/>
      <c r="V29" s="289"/>
    </row>
    <row r="30" spans="3:22" ht="15.75" customHeight="1">
      <c r="C30" s="328"/>
      <c r="D30" s="289"/>
      <c r="E30" s="289"/>
      <c r="F30" s="289"/>
      <c r="G30" s="289"/>
      <c r="H30" s="289"/>
      <c r="I30" s="289"/>
      <c r="J30" s="289"/>
      <c r="K30" s="289"/>
      <c r="L30" s="289"/>
      <c r="M30" s="289"/>
      <c r="N30" s="289"/>
      <c r="O30" s="289"/>
      <c r="P30" s="289"/>
      <c r="Q30" s="289"/>
      <c r="R30" s="289"/>
      <c r="S30" s="289"/>
      <c r="T30" s="289"/>
      <c r="U30" s="289"/>
      <c r="V30" s="289"/>
    </row>
    <row r="31" spans="3:22" ht="15.75" customHeight="1">
      <c r="C31" s="328"/>
      <c r="D31" s="289"/>
      <c r="E31" s="289"/>
      <c r="F31" s="289"/>
      <c r="G31" s="289"/>
      <c r="H31" s="289"/>
      <c r="I31" s="289"/>
      <c r="J31" s="289"/>
      <c r="K31" s="289"/>
      <c r="L31" s="289"/>
      <c r="M31" s="289"/>
      <c r="N31" s="289"/>
      <c r="O31" s="289"/>
      <c r="P31" s="289"/>
      <c r="Q31" s="289"/>
      <c r="R31" s="289"/>
      <c r="S31" s="289"/>
      <c r="T31" s="289"/>
      <c r="U31" s="289"/>
      <c r="V31" s="289"/>
    </row>
    <row r="32" spans="3:22" ht="15.75" customHeight="1">
      <c r="C32" s="328"/>
      <c r="D32" s="289"/>
      <c r="E32" s="289"/>
      <c r="F32" s="289"/>
      <c r="G32" s="289"/>
      <c r="H32" s="289"/>
      <c r="I32" s="289"/>
      <c r="J32" s="289"/>
      <c r="K32" s="289"/>
      <c r="L32" s="289"/>
      <c r="M32" s="289"/>
      <c r="N32" s="289"/>
      <c r="O32" s="289"/>
      <c r="P32" s="289"/>
      <c r="Q32" s="289"/>
      <c r="R32" s="289"/>
      <c r="S32" s="289"/>
      <c r="T32" s="289"/>
      <c r="U32" s="289"/>
      <c r="V32" s="289"/>
    </row>
    <row r="33" spans="3:22" ht="15.75" customHeight="1">
      <c r="C33" s="328"/>
      <c r="D33" s="289"/>
      <c r="E33" s="289"/>
      <c r="F33" s="289"/>
      <c r="G33" s="289"/>
      <c r="H33" s="289"/>
      <c r="I33" s="289"/>
      <c r="J33" s="289"/>
      <c r="K33" s="289"/>
      <c r="L33" s="289"/>
      <c r="M33" s="289"/>
      <c r="N33" s="289"/>
      <c r="O33" s="289"/>
      <c r="P33" s="289"/>
      <c r="Q33" s="289"/>
      <c r="R33" s="289"/>
      <c r="S33" s="289"/>
      <c r="T33" s="289"/>
      <c r="U33" s="289"/>
      <c r="V33" s="289"/>
    </row>
    <row r="34" spans="3:22" ht="15.75" customHeight="1">
      <c r="C34" s="328"/>
      <c r="D34" s="289"/>
      <c r="E34" s="289"/>
      <c r="F34" s="289"/>
      <c r="G34" s="289"/>
      <c r="H34" s="289"/>
      <c r="I34" s="289"/>
      <c r="J34" s="289"/>
      <c r="K34" s="289"/>
      <c r="L34" s="289"/>
      <c r="M34" s="289"/>
      <c r="N34" s="289"/>
      <c r="O34" s="289"/>
      <c r="P34" s="289"/>
      <c r="Q34" s="289"/>
      <c r="R34" s="289"/>
      <c r="S34" s="289"/>
      <c r="T34" s="289"/>
      <c r="U34" s="289"/>
      <c r="V34" s="289"/>
    </row>
    <row r="35" spans="3:22" ht="15.75" customHeight="1">
      <c r="C35" s="328"/>
      <c r="D35" s="289"/>
      <c r="E35" s="289"/>
      <c r="F35" s="289"/>
      <c r="G35" s="289"/>
      <c r="H35" s="289"/>
      <c r="I35" s="289"/>
      <c r="J35" s="289"/>
      <c r="K35" s="289"/>
      <c r="L35" s="289"/>
      <c r="M35" s="289"/>
      <c r="N35" s="289"/>
      <c r="O35" s="289"/>
      <c r="P35" s="289"/>
      <c r="Q35" s="289"/>
      <c r="R35" s="289"/>
      <c r="S35" s="289"/>
      <c r="T35" s="289"/>
      <c r="U35" s="289"/>
      <c r="V35" s="289"/>
    </row>
    <row r="36" spans="3:22" ht="15.75" customHeight="1">
      <c r="C36" s="328"/>
      <c r="D36" s="289"/>
      <c r="E36" s="289"/>
      <c r="F36" s="289"/>
      <c r="G36" s="289"/>
      <c r="H36" s="289"/>
      <c r="I36" s="289"/>
      <c r="J36" s="289"/>
      <c r="K36" s="289"/>
      <c r="L36" s="289"/>
      <c r="M36" s="289"/>
      <c r="N36" s="289"/>
      <c r="O36" s="289"/>
      <c r="P36" s="289"/>
      <c r="Q36" s="289"/>
      <c r="R36" s="289"/>
      <c r="S36" s="289"/>
      <c r="T36" s="289"/>
      <c r="U36" s="289"/>
      <c r="V36" s="289"/>
    </row>
    <row r="37" spans="3:22" ht="15.75" customHeight="1">
      <c r="C37" s="328"/>
      <c r="D37" s="289"/>
      <c r="E37" s="289"/>
      <c r="F37" s="289"/>
      <c r="G37" s="289"/>
      <c r="H37" s="289"/>
      <c r="I37" s="289"/>
      <c r="J37" s="289"/>
      <c r="K37" s="289"/>
      <c r="L37" s="289"/>
      <c r="M37" s="289"/>
      <c r="N37" s="289"/>
      <c r="O37" s="289"/>
      <c r="P37" s="289"/>
      <c r="Q37" s="289"/>
      <c r="R37" s="289"/>
      <c r="S37" s="289"/>
      <c r="T37" s="289"/>
      <c r="U37" s="289"/>
      <c r="V37" s="289"/>
    </row>
    <row r="38" spans="3:22" ht="15.75" customHeight="1">
      <c r="C38" s="328"/>
      <c r="D38" s="289"/>
      <c r="E38" s="289"/>
      <c r="F38" s="289"/>
      <c r="G38" s="289"/>
      <c r="H38" s="289"/>
      <c r="I38" s="289"/>
      <c r="J38" s="289"/>
      <c r="K38" s="289"/>
      <c r="L38" s="289"/>
      <c r="M38" s="289"/>
      <c r="N38" s="289"/>
      <c r="O38" s="289"/>
      <c r="P38" s="289"/>
      <c r="Q38" s="289"/>
      <c r="R38" s="289"/>
      <c r="S38" s="289"/>
      <c r="T38" s="289"/>
      <c r="U38" s="289"/>
      <c r="V38" s="289"/>
    </row>
    <row r="39" spans="3:22" ht="15.75" customHeight="1">
      <c r="C39" s="328"/>
      <c r="D39" s="289"/>
      <c r="E39" s="289"/>
      <c r="F39" s="289"/>
      <c r="G39" s="289"/>
      <c r="H39" s="289"/>
      <c r="I39" s="289"/>
      <c r="J39" s="289"/>
      <c r="K39" s="289"/>
      <c r="L39" s="289"/>
      <c r="M39" s="289"/>
      <c r="N39" s="289"/>
      <c r="O39" s="289"/>
      <c r="P39" s="289"/>
      <c r="Q39" s="289"/>
      <c r="R39" s="289"/>
      <c r="S39" s="289"/>
      <c r="T39" s="289"/>
      <c r="U39" s="289"/>
      <c r="V39" s="289"/>
    </row>
    <row r="40" spans="3:22" ht="15.75" customHeight="1">
      <c r="C40" s="328"/>
      <c r="D40" s="289"/>
      <c r="E40" s="289"/>
      <c r="F40" s="289"/>
      <c r="G40" s="289"/>
      <c r="H40" s="289"/>
      <c r="I40" s="289"/>
      <c r="J40" s="289"/>
      <c r="K40" s="289"/>
      <c r="L40" s="289"/>
      <c r="M40" s="289"/>
      <c r="N40" s="289"/>
      <c r="O40" s="289"/>
      <c r="P40" s="289"/>
      <c r="Q40" s="289"/>
      <c r="R40" s="289"/>
      <c r="S40" s="289"/>
      <c r="T40" s="289"/>
      <c r="U40" s="289"/>
      <c r="V40" s="289"/>
    </row>
    <row r="41" spans="3:22" ht="15.75" customHeight="1">
      <c r="C41" s="328"/>
      <c r="D41" s="289"/>
      <c r="E41" s="289"/>
      <c r="F41" s="289"/>
      <c r="G41" s="289"/>
      <c r="H41" s="289"/>
      <c r="I41" s="289"/>
      <c r="J41" s="289"/>
      <c r="K41" s="289"/>
      <c r="L41" s="289"/>
      <c r="M41" s="289"/>
      <c r="N41" s="289"/>
      <c r="O41" s="289"/>
      <c r="P41" s="289"/>
      <c r="Q41" s="289"/>
      <c r="R41" s="289"/>
      <c r="S41" s="289"/>
      <c r="T41" s="289"/>
      <c r="U41" s="289"/>
      <c r="V41" s="289"/>
    </row>
    <row r="42" spans="3:22" ht="15.75" customHeight="1">
      <c r="C42" s="328"/>
      <c r="D42" s="289"/>
      <c r="E42" s="289"/>
      <c r="F42" s="289"/>
      <c r="G42" s="289"/>
      <c r="H42" s="289"/>
      <c r="I42" s="289"/>
      <c r="J42" s="289"/>
      <c r="K42" s="289"/>
      <c r="L42" s="289"/>
      <c r="M42" s="289"/>
      <c r="N42" s="289"/>
      <c r="O42" s="289"/>
      <c r="P42" s="289"/>
      <c r="Q42" s="289"/>
      <c r="R42" s="289"/>
      <c r="S42" s="289"/>
      <c r="T42" s="289"/>
      <c r="U42" s="289"/>
      <c r="V42" s="289"/>
    </row>
    <row r="43" spans="3:22" ht="15.75" customHeight="1">
      <c r="C43" s="328"/>
      <c r="D43" s="289"/>
      <c r="E43" s="289"/>
      <c r="F43" s="289"/>
      <c r="G43" s="289"/>
      <c r="H43" s="289"/>
      <c r="I43" s="289"/>
      <c r="J43" s="289"/>
      <c r="K43" s="289"/>
      <c r="L43" s="289"/>
      <c r="M43" s="289"/>
      <c r="N43" s="289"/>
      <c r="O43" s="289"/>
      <c r="P43" s="289"/>
      <c r="Q43" s="289"/>
      <c r="R43" s="289"/>
      <c r="S43" s="289"/>
      <c r="T43" s="289"/>
      <c r="U43" s="289"/>
      <c r="V43" s="289"/>
    </row>
    <row r="44" spans="3:22" ht="15.75" customHeight="1">
      <c r="C44" s="328"/>
      <c r="D44" s="289"/>
      <c r="E44" s="289"/>
      <c r="F44" s="289"/>
      <c r="G44" s="289"/>
      <c r="H44" s="289"/>
      <c r="I44" s="289"/>
      <c r="J44" s="289"/>
      <c r="K44" s="289"/>
      <c r="L44" s="289"/>
      <c r="M44" s="289"/>
      <c r="N44" s="289"/>
      <c r="O44" s="289"/>
      <c r="P44" s="289"/>
      <c r="Q44" s="289"/>
      <c r="R44" s="289"/>
      <c r="S44" s="289"/>
      <c r="T44" s="289"/>
      <c r="U44" s="289"/>
      <c r="V44" s="289"/>
    </row>
    <row r="45" spans="3:22" ht="15.75" customHeight="1">
      <c r="C45" s="328"/>
      <c r="D45" s="289"/>
      <c r="E45" s="289"/>
      <c r="F45" s="289"/>
      <c r="G45" s="289"/>
      <c r="H45" s="289"/>
      <c r="I45" s="289"/>
      <c r="J45" s="289"/>
      <c r="K45" s="289"/>
      <c r="L45" s="289"/>
      <c r="M45" s="289"/>
      <c r="N45" s="289"/>
      <c r="O45" s="289"/>
      <c r="P45" s="289"/>
      <c r="Q45" s="289"/>
      <c r="R45" s="289"/>
      <c r="S45" s="289"/>
      <c r="T45" s="289"/>
      <c r="U45" s="289"/>
      <c r="V45" s="289"/>
    </row>
    <row r="46" spans="3:22" ht="15.75" customHeight="1">
      <c r="C46" s="328"/>
      <c r="D46" s="289"/>
      <c r="E46" s="289"/>
      <c r="F46" s="289"/>
      <c r="G46" s="289"/>
      <c r="H46" s="289"/>
      <c r="I46" s="289"/>
      <c r="J46" s="289"/>
      <c r="K46" s="289"/>
      <c r="L46" s="289"/>
      <c r="M46" s="289"/>
      <c r="N46" s="289"/>
      <c r="O46" s="289"/>
      <c r="P46" s="289"/>
      <c r="Q46" s="289"/>
      <c r="R46" s="289"/>
      <c r="S46" s="289"/>
      <c r="T46" s="289"/>
      <c r="U46" s="289"/>
      <c r="V46" s="289"/>
    </row>
    <row r="47" spans="3:22" ht="15.75" customHeight="1">
      <c r="C47" s="328"/>
      <c r="D47" s="289"/>
      <c r="E47" s="289"/>
      <c r="F47" s="289"/>
      <c r="G47" s="289"/>
      <c r="H47" s="289"/>
      <c r="I47" s="289"/>
      <c r="J47" s="289"/>
      <c r="K47" s="289"/>
      <c r="L47" s="289"/>
      <c r="M47" s="289"/>
      <c r="N47" s="289"/>
      <c r="O47" s="289"/>
      <c r="P47" s="289"/>
      <c r="Q47" s="289"/>
      <c r="R47" s="289"/>
      <c r="S47" s="289"/>
      <c r="T47" s="289"/>
      <c r="U47" s="289"/>
      <c r="V47" s="289"/>
    </row>
    <row r="48" spans="3:22" ht="15.75" customHeight="1">
      <c r="C48" s="328"/>
      <c r="D48" s="289"/>
      <c r="E48" s="289"/>
      <c r="F48" s="289"/>
      <c r="G48" s="289"/>
      <c r="H48" s="289"/>
      <c r="I48" s="289"/>
      <c r="J48" s="289"/>
      <c r="K48" s="289"/>
      <c r="L48" s="289"/>
      <c r="M48" s="289"/>
      <c r="N48" s="289"/>
      <c r="O48" s="289"/>
      <c r="P48" s="289"/>
      <c r="Q48" s="289"/>
      <c r="R48" s="289"/>
      <c r="S48" s="289"/>
      <c r="T48" s="289"/>
      <c r="U48" s="289"/>
      <c r="V48" s="289"/>
    </row>
    <row r="49" spans="3:22" ht="15.75" customHeight="1">
      <c r="C49" s="328"/>
      <c r="D49" s="289"/>
      <c r="E49" s="289"/>
      <c r="F49" s="289"/>
      <c r="G49" s="289"/>
      <c r="H49" s="289"/>
      <c r="I49" s="289"/>
      <c r="J49" s="289"/>
      <c r="K49" s="289"/>
      <c r="L49" s="289"/>
      <c r="M49" s="289"/>
      <c r="N49" s="289"/>
      <c r="O49" s="289"/>
      <c r="P49" s="289"/>
      <c r="Q49" s="289"/>
      <c r="R49" s="289"/>
      <c r="S49" s="289"/>
      <c r="T49" s="289"/>
      <c r="U49" s="289"/>
      <c r="V49" s="289"/>
    </row>
    <row r="50" spans="3:22" ht="15.75" customHeight="1">
      <c r="C50" s="328"/>
      <c r="D50" s="289"/>
      <c r="E50" s="289"/>
      <c r="F50" s="289"/>
      <c r="G50" s="289"/>
      <c r="H50" s="289"/>
      <c r="I50" s="289"/>
      <c r="J50" s="289"/>
      <c r="K50" s="289"/>
      <c r="L50" s="289"/>
      <c r="M50" s="289"/>
      <c r="N50" s="289"/>
      <c r="O50" s="289"/>
      <c r="P50" s="289"/>
      <c r="Q50" s="289"/>
      <c r="R50" s="289"/>
      <c r="S50" s="289"/>
      <c r="T50" s="289"/>
      <c r="U50" s="289"/>
      <c r="V50" s="289"/>
    </row>
    <row r="51" spans="3:22" ht="15.75" customHeight="1">
      <c r="C51" s="328"/>
      <c r="D51" s="289"/>
      <c r="E51" s="289"/>
      <c r="F51" s="289"/>
      <c r="G51" s="289"/>
      <c r="H51" s="289"/>
      <c r="I51" s="289"/>
      <c r="J51" s="289"/>
      <c r="K51" s="289"/>
      <c r="L51" s="289"/>
      <c r="M51" s="289"/>
      <c r="N51" s="289"/>
      <c r="O51" s="289"/>
      <c r="P51" s="289"/>
      <c r="Q51" s="289"/>
      <c r="R51" s="289"/>
      <c r="S51" s="289"/>
      <c r="T51" s="289"/>
      <c r="U51" s="289"/>
      <c r="V51" s="289"/>
    </row>
    <row r="52" spans="3:22" ht="15.75" customHeight="1">
      <c r="C52" s="328"/>
      <c r="D52" s="289"/>
      <c r="E52" s="289"/>
      <c r="F52" s="289"/>
      <c r="G52" s="289"/>
      <c r="H52" s="289"/>
      <c r="I52" s="289"/>
      <c r="J52" s="289"/>
      <c r="K52" s="289"/>
      <c r="L52" s="289"/>
      <c r="M52" s="289"/>
      <c r="N52" s="289"/>
      <c r="O52" s="289"/>
      <c r="P52" s="289"/>
      <c r="Q52" s="289"/>
      <c r="R52" s="289"/>
      <c r="S52" s="289"/>
      <c r="T52" s="289"/>
      <c r="U52" s="289"/>
      <c r="V52" s="289"/>
    </row>
    <row r="53" spans="3:22" ht="15.75" customHeight="1">
      <c r="C53" s="328"/>
      <c r="D53" s="289"/>
      <c r="E53" s="289"/>
      <c r="F53" s="289"/>
      <c r="G53" s="289"/>
      <c r="H53" s="289"/>
      <c r="I53" s="289"/>
      <c r="J53" s="289"/>
      <c r="K53" s="289"/>
      <c r="L53" s="289"/>
      <c r="M53" s="289"/>
      <c r="N53" s="289"/>
      <c r="O53" s="289"/>
      <c r="P53" s="289"/>
      <c r="Q53" s="289"/>
      <c r="R53" s="289"/>
      <c r="S53" s="289"/>
      <c r="T53" s="289"/>
      <c r="U53" s="289"/>
      <c r="V53" s="289"/>
    </row>
    <row r="54" spans="3:22" ht="15.75" customHeight="1">
      <c r="C54" s="328"/>
      <c r="D54" s="289"/>
      <c r="E54" s="289"/>
      <c r="F54" s="289"/>
      <c r="G54" s="289"/>
      <c r="H54" s="289"/>
      <c r="I54" s="289"/>
      <c r="J54" s="289"/>
      <c r="K54" s="289"/>
      <c r="L54" s="289"/>
      <c r="M54" s="289"/>
      <c r="N54" s="289"/>
      <c r="O54" s="289"/>
      <c r="P54" s="289"/>
      <c r="Q54" s="289"/>
      <c r="R54" s="289"/>
      <c r="S54" s="289"/>
      <c r="T54" s="289"/>
      <c r="U54" s="289"/>
      <c r="V54" s="289"/>
    </row>
    <row r="55" spans="3:22" ht="15.75" customHeight="1">
      <c r="C55" s="328"/>
      <c r="D55" s="289"/>
      <c r="E55" s="289"/>
      <c r="F55" s="289"/>
      <c r="G55" s="289"/>
      <c r="H55" s="289"/>
      <c r="I55" s="289"/>
      <c r="J55" s="289"/>
      <c r="K55" s="289"/>
      <c r="L55" s="289"/>
      <c r="M55" s="289"/>
      <c r="N55" s="289"/>
      <c r="O55" s="289"/>
      <c r="P55" s="289"/>
      <c r="Q55" s="289"/>
      <c r="R55" s="289"/>
      <c r="S55" s="289"/>
      <c r="T55" s="289"/>
      <c r="U55" s="289"/>
      <c r="V55" s="289"/>
    </row>
    <row r="56" spans="3:22" ht="15.75" customHeight="1">
      <c r="C56" s="328"/>
      <c r="D56" s="289"/>
      <c r="E56" s="289"/>
      <c r="F56" s="289"/>
      <c r="G56" s="289"/>
      <c r="H56" s="289"/>
      <c r="I56" s="289"/>
      <c r="J56" s="289"/>
      <c r="K56" s="289"/>
      <c r="L56" s="289"/>
      <c r="M56" s="289"/>
      <c r="N56" s="289"/>
      <c r="O56" s="289"/>
      <c r="P56" s="289"/>
      <c r="Q56" s="289"/>
      <c r="R56" s="289"/>
      <c r="S56" s="289"/>
      <c r="T56" s="289"/>
      <c r="U56" s="289"/>
      <c r="V56" s="289"/>
    </row>
    <row r="57" spans="3:22" ht="15.75" customHeight="1">
      <c r="C57" s="328"/>
      <c r="D57" s="289"/>
      <c r="E57" s="289"/>
      <c r="F57" s="289"/>
      <c r="G57" s="289"/>
      <c r="H57" s="289"/>
      <c r="I57" s="289"/>
      <c r="J57" s="289"/>
      <c r="K57" s="289"/>
      <c r="L57" s="289"/>
      <c r="M57" s="289"/>
      <c r="N57" s="289"/>
      <c r="O57" s="289"/>
      <c r="P57" s="289"/>
      <c r="Q57" s="289"/>
      <c r="R57" s="289"/>
      <c r="S57" s="289"/>
      <c r="T57" s="289"/>
      <c r="U57" s="289"/>
      <c r="V57" s="289"/>
    </row>
    <row r="58" spans="3:22" ht="15.75" customHeight="1">
      <c r="C58" s="328"/>
      <c r="D58" s="289"/>
      <c r="E58" s="289"/>
      <c r="F58" s="289"/>
      <c r="G58" s="289"/>
      <c r="H58" s="289"/>
      <c r="I58" s="289"/>
      <c r="J58" s="289"/>
      <c r="K58" s="289"/>
      <c r="L58" s="289"/>
      <c r="M58" s="289"/>
      <c r="N58" s="289"/>
      <c r="O58" s="289"/>
      <c r="P58" s="289"/>
      <c r="Q58" s="289"/>
      <c r="R58" s="289"/>
      <c r="S58" s="289"/>
      <c r="T58" s="289"/>
      <c r="U58" s="289"/>
      <c r="V58" s="289"/>
    </row>
    <row r="59" spans="3:22" ht="15.75" customHeight="1">
      <c r="C59" s="328"/>
      <c r="D59" s="289"/>
      <c r="E59" s="289"/>
      <c r="F59" s="289"/>
      <c r="G59" s="289"/>
      <c r="H59" s="289"/>
      <c r="I59" s="289"/>
      <c r="J59" s="289"/>
      <c r="K59" s="289"/>
      <c r="L59" s="289"/>
      <c r="M59" s="289"/>
      <c r="N59" s="289"/>
      <c r="O59" s="289"/>
      <c r="P59" s="289"/>
      <c r="Q59" s="289"/>
      <c r="R59" s="289"/>
      <c r="S59" s="289"/>
      <c r="T59" s="289"/>
      <c r="U59" s="289"/>
      <c r="V59" s="289"/>
    </row>
    <row r="60" spans="3:22" ht="15.75" customHeight="1">
      <c r="C60" s="328"/>
      <c r="D60" s="289"/>
      <c r="E60" s="289"/>
      <c r="F60" s="289"/>
      <c r="G60" s="289"/>
      <c r="H60" s="289"/>
      <c r="I60" s="289"/>
      <c r="J60" s="289"/>
      <c r="K60" s="289"/>
      <c r="L60" s="289"/>
      <c r="M60" s="289"/>
      <c r="N60" s="289"/>
      <c r="O60" s="289"/>
      <c r="P60" s="289"/>
      <c r="Q60" s="289"/>
      <c r="R60" s="289"/>
      <c r="S60" s="289"/>
      <c r="T60" s="289"/>
      <c r="U60" s="289"/>
      <c r="V60" s="289"/>
    </row>
    <row r="61" spans="3:22" ht="15.75" customHeight="1">
      <c r="C61" s="328"/>
      <c r="D61" s="289"/>
      <c r="E61" s="289"/>
      <c r="F61" s="289"/>
      <c r="G61" s="289"/>
      <c r="H61" s="289"/>
      <c r="I61" s="289"/>
      <c r="J61" s="289"/>
      <c r="K61" s="289"/>
      <c r="L61" s="289"/>
      <c r="M61" s="289"/>
      <c r="N61" s="289"/>
      <c r="O61" s="289"/>
      <c r="P61" s="289"/>
      <c r="Q61" s="289"/>
      <c r="R61" s="289"/>
      <c r="S61" s="289"/>
      <c r="T61" s="289"/>
      <c r="U61" s="289"/>
      <c r="V61" s="289"/>
    </row>
    <row r="62" spans="3:22" ht="15.75" customHeight="1">
      <c r="C62" s="328"/>
      <c r="D62" s="289"/>
      <c r="E62" s="289"/>
      <c r="F62" s="289"/>
      <c r="G62" s="289"/>
      <c r="H62" s="289"/>
      <c r="I62" s="289"/>
      <c r="J62" s="289"/>
      <c r="K62" s="289"/>
      <c r="L62" s="289"/>
      <c r="M62" s="289"/>
      <c r="N62" s="289"/>
      <c r="O62" s="289"/>
      <c r="P62" s="289"/>
      <c r="Q62" s="289"/>
      <c r="R62" s="289"/>
      <c r="S62" s="289"/>
      <c r="T62" s="289"/>
      <c r="U62" s="289"/>
      <c r="V62" s="289"/>
    </row>
    <row r="63" spans="3:22" ht="15.75" customHeight="1">
      <c r="C63" s="328"/>
      <c r="D63" s="289"/>
      <c r="E63" s="289"/>
      <c r="F63" s="289"/>
      <c r="G63" s="289"/>
      <c r="H63" s="289"/>
      <c r="I63" s="289"/>
      <c r="J63" s="289"/>
      <c r="K63" s="289"/>
      <c r="L63" s="289"/>
      <c r="M63" s="289"/>
      <c r="N63" s="289"/>
      <c r="O63" s="289"/>
      <c r="P63" s="289"/>
      <c r="Q63" s="289"/>
      <c r="R63" s="289"/>
      <c r="S63" s="289"/>
      <c r="T63" s="289"/>
      <c r="U63" s="289"/>
      <c r="V63" s="289"/>
    </row>
    <row r="64" spans="3:22" ht="15.75" customHeight="1">
      <c r="C64" s="328"/>
      <c r="D64" s="289"/>
      <c r="E64" s="289"/>
      <c r="F64" s="289"/>
      <c r="G64" s="289"/>
      <c r="H64" s="289"/>
      <c r="I64" s="289"/>
      <c r="J64" s="289"/>
      <c r="K64" s="289"/>
      <c r="L64" s="289"/>
      <c r="M64" s="289"/>
      <c r="N64" s="289"/>
      <c r="O64" s="289"/>
      <c r="P64" s="289"/>
      <c r="Q64" s="289"/>
      <c r="R64" s="289"/>
      <c r="S64" s="289"/>
      <c r="T64" s="289"/>
      <c r="U64" s="289"/>
      <c r="V64" s="289"/>
    </row>
    <row r="65" spans="3:22" ht="15.75" customHeight="1">
      <c r="C65" s="328"/>
      <c r="D65" s="289"/>
      <c r="E65" s="289"/>
      <c r="F65" s="289"/>
      <c r="G65" s="289"/>
      <c r="H65" s="289"/>
      <c r="I65" s="289"/>
      <c r="J65" s="289"/>
      <c r="K65" s="289"/>
      <c r="L65" s="289"/>
      <c r="M65" s="289"/>
      <c r="N65" s="289"/>
      <c r="O65" s="289"/>
      <c r="P65" s="289"/>
      <c r="Q65" s="289"/>
      <c r="R65" s="289"/>
      <c r="S65" s="289"/>
      <c r="T65" s="289"/>
      <c r="U65" s="289"/>
      <c r="V65" s="289"/>
    </row>
    <row r="66" spans="3:22" ht="15.75" customHeight="1">
      <c r="C66" s="328"/>
      <c r="D66" s="289"/>
      <c r="E66" s="289"/>
      <c r="F66" s="289"/>
      <c r="G66" s="289"/>
      <c r="H66" s="289"/>
      <c r="I66" s="289"/>
      <c r="J66" s="289"/>
      <c r="K66" s="289"/>
      <c r="L66" s="289"/>
      <c r="M66" s="289"/>
      <c r="N66" s="289"/>
      <c r="O66" s="289"/>
      <c r="P66" s="289"/>
      <c r="Q66" s="289"/>
      <c r="R66" s="289"/>
      <c r="S66" s="289"/>
      <c r="T66" s="289"/>
      <c r="U66" s="289"/>
      <c r="V66" s="289"/>
    </row>
    <row r="67" spans="3:22" ht="15.75" customHeight="1">
      <c r="C67" s="328"/>
      <c r="D67" s="289"/>
      <c r="E67" s="289"/>
      <c r="F67" s="289"/>
      <c r="G67" s="289"/>
      <c r="H67" s="289"/>
      <c r="I67" s="289"/>
      <c r="J67" s="289"/>
      <c r="K67" s="289"/>
      <c r="L67" s="289"/>
      <c r="M67" s="289"/>
      <c r="N67" s="289"/>
      <c r="O67" s="289"/>
      <c r="P67" s="289"/>
      <c r="Q67" s="289"/>
      <c r="R67" s="289"/>
      <c r="S67" s="289"/>
      <c r="T67" s="289"/>
      <c r="U67" s="289"/>
      <c r="V67" s="289"/>
    </row>
    <row r="68" spans="3:22" ht="15.75" customHeight="1">
      <c r="C68" s="328"/>
      <c r="D68" s="289"/>
      <c r="E68" s="289"/>
      <c r="F68" s="289"/>
      <c r="G68" s="289"/>
      <c r="H68" s="289"/>
      <c r="I68" s="289"/>
      <c r="J68" s="289"/>
      <c r="K68" s="289"/>
      <c r="L68" s="289"/>
      <c r="M68" s="289"/>
      <c r="N68" s="289"/>
      <c r="O68" s="289"/>
      <c r="P68" s="289"/>
      <c r="Q68" s="289"/>
      <c r="R68" s="289"/>
      <c r="S68" s="289"/>
      <c r="T68" s="289"/>
      <c r="U68" s="289"/>
      <c r="V68" s="289"/>
    </row>
    <row r="69" spans="3:22" ht="15.75" customHeight="1">
      <c r="C69" s="328"/>
      <c r="D69" s="289"/>
      <c r="E69" s="289"/>
      <c r="F69" s="289"/>
      <c r="G69" s="289"/>
      <c r="H69" s="289"/>
      <c r="I69" s="289"/>
      <c r="J69" s="289"/>
      <c r="K69" s="289"/>
      <c r="L69" s="289"/>
      <c r="M69" s="289"/>
      <c r="N69" s="289"/>
      <c r="O69" s="289"/>
      <c r="P69" s="289"/>
      <c r="Q69" s="289"/>
      <c r="R69" s="289"/>
      <c r="S69" s="289"/>
      <c r="T69" s="289"/>
      <c r="U69" s="289"/>
      <c r="V69" s="289"/>
    </row>
    <row r="70" spans="3:22" ht="15.75" customHeight="1">
      <c r="C70" s="328"/>
      <c r="D70" s="289"/>
      <c r="E70" s="289"/>
      <c r="F70" s="289"/>
      <c r="G70" s="289"/>
      <c r="H70" s="289"/>
      <c r="I70" s="289"/>
      <c r="J70" s="289"/>
      <c r="K70" s="289"/>
      <c r="L70" s="289"/>
      <c r="M70" s="289"/>
      <c r="N70" s="289"/>
      <c r="O70" s="289"/>
      <c r="P70" s="289"/>
      <c r="Q70" s="289"/>
      <c r="R70" s="289"/>
      <c r="S70" s="289"/>
      <c r="T70" s="289"/>
      <c r="U70" s="289"/>
      <c r="V70" s="289"/>
    </row>
    <row r="71" spans="3:22" ht="15.75" customHeight="1">
      <c r="C71" s="328"/>
      <c r="D71" s="289"/>
      <c r="E71" s="289"/>
      <c r="F71" s="289"/>
      <c r="G71" s="289"/>
      <c r="H71" s="289"/>
      <c r="I71" s="289"/>
      <c r="J71" s="289"/>
      <c r="K71" s="289"/>
      <c r="L71" s="289"/>
      <c r="M71" s="289"/>
      <c r="N71" s="289"/>
      <c r="O71" s="289"/>
      <c r="P71" s="289"/>
      <c r="Q71" s="289"/>
      <c r="R71" s="289"/>
      <c r="S71" s="289"/>
      <c r="T71" s="289"/>
      <c r="U71" s="289"/>
      <c r="V71" s="289"/>
    </row>
    <row r="72" spans="3:22" ht="15.75" customHeight="1">
      <c r="C72" s="328"/>
      <c r="D72" s="289"/>
      <c r="E72" s="289"/>
      <c r="F72" s="289"/>
      <c r="G72" s="289"/>
      <c r="H72" s="289"/>
      <c r="I72" s="289"/>
      <c r="J72" s="289"/>
      <c r="K72" s="289"/>
      <c r="L72" s="289"/>
      <c r="M72" s="289"/>
      <c r="N72" s="289"/>
      <c r="O72" s="289"/>
      <c r="P72" s="289"/>
      <c r="Q72" s="289"/>
      <c r="R72" s="289"/>
      <c r="S72" s="289"/>
      <c r="T72" s="289"/>
      <c r="U72" s="289"/>
      <c r="V72" s="289"/>
    </row>
    <row r="73" spans="3:22" ht="15.75" customHeight="1">
      <c r="C73" s="328"/>
      <c r="D73" s="289"/>
      <c r="E73" s="289"/>
      <c r="F73" s="289"/>
      <c r="G73" s="289"/>
      <c r="H73" s="289"/>
      <c r="I73" s="289"/>
      <c r="J73" s="289"/>
      <c r="K73" s="289"/>
      <c r="L73" s="289"/>
      <c r="M73" s="289"/>
      <c r="N73" s="289"/>
      <c r="O73" s="289"/>
      <c r="P73" s="289"/>
      <c r="Q73" s="289"/>
      <c r="R73" s="289"/>
      <c r="S73" s="289"/>
      <c r="T73" s="289"/>
      <c r="U73" s="289"/>
      <c r="V73" s="289"/>
    </row>
    <row r="74" spans="3:22" ht="15.75" customHeight="1">
      <c r="C74" s="328"/>
      <c r="D74" s="289"/>
      <c r="E74" s="289"/>
      <c r="F74" s="289"/>
      <c r="G74" s="289"/>
      <c r="H74" s="289"/>
      <c r="I74" s="289"/>
      <c r="J74" s="289"/>
      <c r="K74" s="289"/>
      <c r="L74" s="289"/>
      <c r="M74" s="289"/>
      <c r="N74" s="289"/>
      <c r="O74" s="289"/>
      <c r="P74" s="289"/>
      <c r="Q74" s="289"/>
      <c r="R74" s="289"/>
      <c r="S74" s="289"/>
      <c r="T74" s="289"/>
      <c r="U74" s="289"/>
      <c r="V74" s="289"/>
    </row>
    <row r="75" spans="3:22" ht="15.75" customHeight="1">
      <c r="C75" s="328"/>
      <c r="D75" s="289"/>
      <c r="E75" s="289"/>
      <c r="F75" s="289"/>
      <c r="G75" s="289"/>
      <c r="H75" s="289"/>
      <c r="I75" s="289"/>
      <c r="J75" s="289"/>
      <c r="K75" s="289"/>
      <c r="L75" s="289"/>
      <c r="M75" s="289"/>
      <c r="N75" s="289"/>
      <c r="O75" s="289"/>
      <c r="P75" s="289"/>
      <c r="Q75" s="289"/>
      <c r="R75" s="289"/>
      <c r="S75" s="289"/>
      <c r="T75" s="289"/>
      <c r="U75" s="289"/>
      <c r="V75" s="289"/>
    </row>
    <row r="76" spans="3:22" ht="15.75" customHeight="1">
      <c r="C76" s="328"/>
      <c r="D76" s="289"/>
      <c r="E76" s="289"/>
      <c r="F76" s="289"/>
      <c r="G76" s="289"/>
      <c r="H76" s="289"/>
      <c r="I76" s="289"/>
      <c r="J76" s="289"/>
      <c r="K76" s="289"/>
      <c r="L76" s="289"/>
      <c r="M76" s="289"/>
      <c r="N76" s="289"/>
      <c r="O76" s="289"/>
      <c r="P76" s="289"/>
      <c r="Q76" s="289"/>
      <c r="R76" s="289"/>
      <c r="S76" s="289"/>
      <c r="T76" s="289"/>
      <c r="U76" s="289"/>
      <c r="V76" s="289"/>
    </row>
    <row r="77" spans="3:22" ht="15.75" customHeight="1">
      <c r="C77" s="328"/>
      <c r="D77" s="289"/>
      <c r="E77" s="289"/>
      <c r="F77" s="289"/>
      <c r="G77" s="289"/>
      <c r="H77" s="289"/>
      <c r="I77" s="289"/>
      <c r="J77" s="289"/>
      <c r="K77" s="289"/>
      <c r="L77" s="289"/>
      <c r="M77" s="289"/>
      <c r="N77" s="289"/>
      <c r="O77" s="289"/>
      <c r="P77" s="289"/>
      <c r="Q77" s="289"/>
      <c r="R77" s="289"/>
      <c r="S77" s="289"/>
      <c r="T77" s="289"/>
      <c r="U77" s="289"/>
      <c r="V77" s="289"/>
    </row>
    <row r="78" spans="3:22" ht="15.75" customHeight="1">
      <c r="C78" s="328"/>
      <c r="D78" s="289"/>
      <c r="E78" s="289"/>
      <c r="F78" s="289"/>
      <c r="G78" s="289"/>
      <c r="H78" s="289"/>
      <c r="I78" s="289"/>
      <c r="J78" s="289"/>
      <c r="K78" s="289"/>
      <c r="L78" s="289"/>
      <c r="M78" s="289"/>
      <c r="N78" s="289"/>
      <c r="O78" s="289"/>
      <c r="P78" s="289"/>
      <c r="Q78" s="289"/>
      <c r="R78" s="289"/>
      <c r="S78" s="289"/>
      <c r="T78" s="289"/>
      <c r="U78" s="289"/>
      <c r="V78" s="289"/>
    </row>
    <row r="79" spans="3:22" ht="15.75" customHeight="1">
      <c r="C79" s="328"/>
      <c r="D79" s="289"/>
      <c r="E79" s="289"/>
      <c r="F79" s="289"/>
      <c r="G79" s="289"/>
      <c r="H79" s="289"/>
      <c r="I79" s="289"/>
      <c r="J79" s="289"/>
      <c r="K79" s="289"/>
      <c r="L79" s="289"/>
      <c r="M79" s="289"/>
      <c r="N79" s="289"/>
      <c r="O79" s="289"/>
      <c r="P79" s="289"/>
      <c r="Q79" s="289"/>
      <c r="R79" s="289"/>
      <c r="S79" s="289"/>
      <c r="T79" s="289"/>
      <c r="U79" s="289"/>
      <c r="V79" s="289"/>
    </row>
    <row r="80" spans="3:22" ht="15.75" customHeight="1">
      <c r="C80" s="328"/>
      <c r="D80" s="289"/>
      <c r="E80" s="289"/>
      <c r="F80" s="289"/>
      <c r="G80" s="289"/>
      <c r="H80" s="289"/>
      <c r="I80" s="289"/>
      <c r="J80" s="289"/>
      <c r="K80" s="289"/>
      <c r="L80" s="289"/>
      <c r="M80" s="289"/>
      <c r="N80" s="289"/>
      <c r="O80" s="289"/>
      <c r="P80" s="289"/>
      <c r="Q80" s="289"/>
      <c r="R80" s="289"/>
      <c r="S80" s="289"/>
      <c r="T80" s="289"/>
      <c r="U80" s="289"/>
      <c r="V80" s="289"/>
    </row>
    <row r="81" spans="3:22" ht="15.75" customHeight="1">
      <c r="C81" s="328"/>
      <c r="D81" s="289"/>
      <c r="E81" s="289"/>
      <c r="F81" s="289"/>
      <c r="G81" s="289"/>
      <c r="H81" s="289"/>
      <c r="I81" s="289"/>
      <c r="J81" s="289"/>
      <c r="K81" s="289"/>
      <c r="L81" s="289"/>
      <c r="M81" s="289"/>
      <c r="N81" s="289"/>
      <c r="O81" s="289"/>
      <c r="P81" s="289"/>
      <c r="Q81" s="289"/>
      <c r="R81" s="289"/>
      <c r="S81" s="289"/>
      <c r="T81" s="289"/>
      <c r="U81" s="289"/>
      <c r="V81" s="289"/>
    </row>
    <row r="82" spans="3:22" ht="15.75" customHeight="1">
      <c r="C82" s="328"/>
      <c r="D82" s="289"/>
      <c r="E82" s="289"/>
      <c r="F82" s="289"/>
      <c r="G82" s="289"/>
      <c r="H82" s="289"/>
      <c r="I82" s="289"/>
      <c r="J82" s="289"/>
      <c r="K82" s="289"/>
      <c r="L82" s="289"/>
      <c r="M82" s="289"/>
      <c r="N82" s="289"/>
      <c r="O82" s="289"/>
      <c r="P82" s="289"/>
      <c r="Q82" s="289"/>
      <c r="R82" s="289"/>
      <c r="S82" s="289"/>
      <c r="T82" s="289"/>
      <c r="U82" s="289"/>
      <c r="V82" s="289"/>
    </row>
    <row r="83" spans="3:22" ht="15.75" customHeight="1">
      <c r="C83" s="328"/>
      <c r="D83" s="289"/>
      <c r="E83" s="289"/>
      <c r="F83" s="289"/>
      <c r="G83" s="289"/>
      <c r="H83" s="289"/>
      <c r="I83" s="289"/>
      <c r="J83" s="289"/>
      <c r="K83" s="289"/>
      <c r="L83" s="289"/>
      <c r="M83" s="289"/>
      <c r="N83" s="289"/>
      <c r="O83" s="289"/>
      <c r="P83" s="289"/>
      <c r="Q83" s="289"/>
      <c r="R83" s="289"/>
      <c r="S83" s="289"/>
      <c r="T83" s="289"/>
      <c r="U83" s="289"/>
      <c r="V83" s="289"/>
    </row>
    <row r="84" spans="3:22" ht="15.75" customHeight="1">
      <c r="C84" s="328"/>
      <c r="D84" s="289"/>
      <c r="E84" s="289"/>
      <c r="F84" s="289"/>
      <c r="G84" s="289"/>
      <c r="H84" s="289"/>
      <c r="I84" s="289"/>
      <c r="J84" s="289"/>
      <c r="K84" s="289"/>
      <c r="L84" s="289"/>
      <c r="M84" s="289"/>
      <c r="N84" s="289"/>
      <c r="O84" s="289"/>
      <c r="P84" s="289"/>
      <c r="Q84" s="289"/>
      <c r="R84" s="289"/>
      <c r="S84" s="289"/>
      <c r="T84" s="289"/>
      <c r="U84" s="289"/>
      <c r="V84" s="289"/>
    </row>
    <row r="85" spans="3:22" ht="15.75" customHeight="1">
      <c r="C85" s="328"/>
      <c r="D85" s="289"/>
      <c r="E85" s="289"/>
      <c r="F85" s="289"/>
      <c r="G85" s="289"/>
      <c r="H85" s="289"/>
      <c r="I85" s="289"/>
      <c r="J85" s="289"/>
      <c r="K85" s="289"/>
      <c r="L85" s="289"/>
      <c r="M85" s="289"/>
      <c r="N85" s="289"/>
      <c r="O85" s="289"/>
      <c r="P85" s="289"/>
      <c r="Q85" s="289"/>
      <c r="R85" s="289"/>
      <c r="S85" s="289"/>
      <c r="T85" s="289"/>
      <c r="U85" s="289"/>
      <c r="V85" s="289"/>
    </row>
    <row r="86" spans="3:22" ht="15.75" customHeight="1">
      <c r="C86" s="328"/>
      <c r="D86" s="289"/>
      <c r="E86" s="289"/>
      <c r="F86" s="289"/>
      <c r="G86" s="289"/>
      <c r="H86" s="289"/>
      <c r="I86" s="289"/>
      <c r="J86" s="289"/>
      <c r="K86" s="289"/>
      <c r="L86" s="289"/>
      <c r="M86" s="289"/>
      <c r="N86" s="289"/>
      <c r="O86" s="289"/>
      <c r="P86" s="289"/>
      <c r="Q86" s="289"/>
      <c r="R86" s="289"/>
      <c r="S86" s="289"/>
      <c r="T86" s="289"/>
      <c r="U86" s="289"/>
      <c r="V86" s="289"/>
    </row>
    <row r="87" spans="3:22" ht="15.75" customHeight="1">
      <c r="C87" s="328"/>
      <c r="D87" s="289"/>
      <c r="E87" s="289"/>
      <c r="F87" s="289"/>
      <c r="G87" s="289"/>
      <c r="H87" s="289"/>
      <c r="I87" s="289"/>
      <c r="J87" s="289"/>
      <c r="K87" s="289"/>
      <c r="L87" s="289"/>
      <c r="M87" s="289"/>
      <c r="N87" s="289"/>
      <c r="O87" s="289"/>
      <c r="P87" s="289"/>
      <c r="Q87" s="289"/>
      <c r="R87" s="289"/>
      <c r="S87" s="289"/>
      <c r="T87" s="289"/>
      <c r="U87" s="289"/>
      <c r="V87" s="289"/>
    </row>
    <row r="88" spans="3:22" ht="15.75" customHeight="1">
      <c r="C88" s="328"/>
      <c r="D88" s="289"/>
      <c r="E88" s="289"/>
      <c r="F88" s="289"/>
      <c r="G88" s="289"/>
      <c r="H88" s="289"/>
      <c r="I88" s="289"/>
      <c r="J88" s="289"/>
      <c r="K88" s="289"/>
      <c r="L88" s="289"/>
      <c r="M88" s="289"/>
      <c r="N88" s="289"/>
      <c r="O88" s="289"/>
      <c r="P88" s="289"/>
      <c r="Q88" s="289"/>
      <c r="R88" s="289"/>
      <c r="S88" s="289"/>
      <c r="T88" s="289"/>
      <c r="U88" s="289"/>
      <c r="V88" s="289"/>
    </row>
    <row r="89" spans="3:22" ht="15.75" customHeight="1">
      <c r="C89" s="328"/>
      <c r="D89" s="289"/>
      <c r="E89" s="289"/>
      <c r="F89" s="289"/>
      <c r="G89" s="289"/>
      <c r="H89" s="289"/>
      <c r="I89" s="289"/>
      <c r="J89" s="289"/>
      <c r="K89" s="289"/>
      <c r="L89" s="289"/>
      <c r="M89" s="289"/>
      <c r="N89" s="289"/>
      <c r="O89" s="289"/>
      <c r="P89" s="289"/>
      <c r="Q89" s="289"/>
      <c r="R89" s="289"/>
      <c r="S89" s="289"/>
      <c r="T89" s="289"/>
      <c r="U89" s="289"/>
      <c r="V89" s="289"/>
    </row>
    <row r="90" spans="3:22" ht="15.75" customHeight="1">
      <c r="C90" s="328"/>
      <c r="D90" s="289"/>
      <c r="E90" s="289"/>
      <c r="F90" s="289"/>
      <c r="G90" s="289"/>
      <c r="H90" s="289"/>
      <c r="I90" s="289"/>
      <c r="J90" s="289"/>
      <c r="K90" s="289"/>
      <c r="L90" s="289"/>
      <c r="M90" s="289"/>
      <c r="N90" s="289"/>
      <c r="O90" s="289"/>
      <c r="P90" s="289"/>
      <c r="Q90" s="289"/>
      <c r="R90" s="289"/>
      <c r="S90" s="289"/>
      <c r="T90" s="289"/>
      <c r="U90" s="289"/>
      <c r="V90" s="289"/>
    </row>
    <row r="91" spans="3:22" ht="15.75" customHeight="1">
      <c r="C91" s="328"/>
      <c r="D91" s="289"/>
      <c r="E91" s="289"/>
      <c r="F91" s="289"/>
      <c r="G91" s="289"/>
      <c r="H91" s="289"/>
      <c r="I91" s="289"/>
      <c r="J91" s="289"/>
      <c r="K91" s="289"/>
      <c r="L91" s="289"/>
      <c r="M91" s="289"/>
      <c r="N91" s="289"/>
      <c r="O91" s="289"/>
      <c r="P91" s="289"/>
      <c r="Q91" s="289"/>
      <c r="R91" s="289"/>
      <c r="S91" s="289"/>
      <c r="T91" s="289"/>
      <c r="U91" s="289"/>
      <c r="V91" s="289"/>
    </row>
    <row r="92" spans="3:22" ht="15.75" customHeight="1">
      <c r="C92" s="328"/>
      <c r="D92" s="289"/>
      <c r="E92" s="289"/>
      <c r="F92" s="289"/>
      <c r="G92" s="289"/>
      <c r="H92" s="289"/>
      <c r="I92" s="289"/>
      <c r="J92" s="289"/>
      <c r="K92" s="289"/>
      <c r="L92" s="289"/>
      <c r="M92" s="289"/>
      <c r="N92" s="289"/>
      <c r="O92" s="289"/>
      <c r="P92" s="289"/>
      <c r="Q92" s="289"/>
      <c r="R92" s="289"/>
      <c r="S92" s="289"/>
      <c r="T92" s="289"/>
      <c r="U92" s="289"/>
      <c r="V92" s="289"/>
    </row>
    <row r="93" spans="3:22" ht="15.75" customHeight="1">
      <c r="C93" s="328"/>
      <c r="D93" s="289"/>
      <c r="E93" s="289"/>
      <c r="F93" s="289"/>
      <c r="G93" s="289"/>
      <c r="H93" s="289"/>
      <c r="I93" s="289"/>
      <c r="J93" s="289"/>
      <c r="K93" s="289"/>
      <c r="L93" s="289"/>
      <c r="M93" s="289"/>
      <c r="N93" s="289"/>
      <c r="O93" s="289"/>
      <c r="P93" s="289"/>
      <c r="Q93" s="289"/>
      <c r="R93" s="289"/>
      <c r="S93" s="289"/>
      <c r="T93" s="289"/>
      <c r="U93" s="289"/>
      <c r="V93" s="289"/>
    </row>
    <row r="94" spans="3:22" ht="15.75" customHeight="1">
      <c r="C94" s="328"/>
      <c r="D94" s="289"/>
      <c r="E94" s="289"/>
      <c r="F94" s="289"/>
      <c r="G94" s="289"/>
      <c r="H94" s="289"/>
      <c r="I94" s="289"/>
      <c r="J94" s="289"/>
      <c r="K94" s="289"/>
      <c r="L94" s="289"/>
      <c r="M94" s="289"/>
      <c r="N94" s="289"/>
      <c r="O94" s="289"/>
      <c r="P94" s="289"/>
      <c r="Q94" s="289"/>
      <c r="R94" s="289"/>
      <c r="S94" s="289"/>
      <c r="T94" s="289"/>
      <c r="U94" s="289"/>
      <c r="V94" s="289"/>
    </row>
    <row r="95" spans="3:22" ht="15.75" customHeight="1">
      <c r="C95" s="328"/>
      <c r="D95" s="289"/>
      <c r="E95" s="289"/>
      <c r="F95" s="289"/>
      <c r="G95" s="289"/>
      <c r="H95" s="289"/>
      <c r="I95" s="289"/>
      <c r="J95" s="289"/>
      <c r="K95" s="289"/>
      <c r="L95" s="289"/>
      <c r="M95" s="289"/>
      <c r="N95" s="289"/>
      <c r="O95" s="289"/>
      <c r="P95" s="289"/>
      <c r="Q95" s="289"/>
      <c r="R95" s="289"/>
      <c r="S95" s="289"/>
      <c r="T95" s="289"/>
      <c r="U95" s="289"/>
      <c r="V95" s="289"/>
    </row>
    <row r="96" spans="3:22" ht="15.75" customHeight="1">
      <c r="C96" s="328"/>
      <c r="D96" s="289"/>
      <c r="E96" s="289"/>
      <c r="F96" s="289"/>
      <c r="G96" s="289"/>
      <c r="H96" s="289"/>
      <c r="I96" s="289"/>
      <c r="J96" s="289"/>
      <c r="K96" s="289"/>
      <c r="L96" s="289"/>
      <c r="M96" s="289"/>
      <c r="N96" s="289"/>
      <c r="O96" s="289"/>
      <c r="P96" s="289"/>
      <c r="Q96" s="289"/>
      <c r="R96" s="289"/>
      <c r="S96" s="289"/>
      <c r="T96" s="289"/>
      <c r="U96" s="289"/>
      <c r="V96" s="289"/>
    </row>
    <row r="97" spans="3:22" ht="15.75" customHeight="1">
      <c r="C97" s="328"/>
      <c r="D97" s="289"/>
      <c r="E97" s="289"/>
      <c r="F97" s="289"/>
      <c r="G97" s="289"/>
      <c r="H97" s="289"/>
      <c r="I97" s="289"/>
      <c r="J97" s="289"/>
      <c r="K97" s="289"/>
      <c r="L97" s="289"/>
      <c r="M97" s="289"/>
      <c r="N97" s="289"/>
      <c r="O97" s="289"/>
      <c r="P97" s="289"/>
      <c r="Q97" s="289"/>
      <c r="R97" s="289"/>
      <c r="S97" s="289"/>
      <c r="T97" s="289"/>
      <c r="U97" s="289"/>
      <c r="V97" s="289"/>
    </row>
    <row r="98" spans="3:22" ht="15.75" customHeight="1">
      <c r="C98" s="328"/>
      <c r="D98" s="289"/>
      <c r="E98" s="289"/>
      <c r="F98" s="289"/>
      <c r="G98" s="289"/>
      <c r="H98" s="289"/>
      <c r="I98" s="289"/>
      <c r="J98" s="289"/>
      <c r="K98" s="289"/>
      <c r="L98" s="289"/>
      <c r="M98" s="289"/>
      <c r="N98" s="289"/>
      <c r="O98" s="289"/>
      <c r="P98" s="289"/>
      <c r="Q98" s="289"/>
      <c r="R98" s="289"/>
      <c r="S98" s="289"/>
      <c r="T98" s="289"/>
      <c r="U98" s="289"/>
      <c r="V98" s="289"/>
    </row>
    <row r="99" spans="3:22" ht="15.75" customHeight="1">
      <c r="C99" s="328"/>
      <c r="D99" s="289"/>
      <c r="E99" s="289"/>
      <c r="F99" s="289"/>
      <c r="G99" s="289"/>
      <c r="H99" s="289"/>
      <c r="I99" s="289"/>
      <c r="J99" s="289"/>
      <c r="K99" s="289"/>
      <c r="L99" s="289"/>
      <c r="M99" s="289"/>
      <c r="N99" s="289"/>
      <c r="O99" s="289"/>
      <c r="P99" s="289"/>
      <c r="Q99" s="289"/>
      <c r="R99" s="289"/>
      <c r="S99" s="289"/>
      <c r="T99" s="289"/>
      <c r="U99" s="289"/>
      <c r="V99" s="289"/>
    </row>
    <row r="100" spans="3:22"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row>
    <row r="101" spans="3:22"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row>
    <row r="102" spans="3:22"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row>
    <row r="103" spans="3:22"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row>
    <row r="104" spans="3:22"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row>
    <row r="105" spans="3:22"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row>
    <row r="106" spans="3:22"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row>
    <row r="107" spans="3:22"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row>
    <row r="108" spans="3:22"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row>
    <row r="109" spans="3:22"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row>
    <row r="110" spans="3:22"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row>
    <row r="111" spans="3:22"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row>
    <row r="112" spans="3:22"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row>
    <row r="113" spans="3:22"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row>
    <row r="114" spans="3:22"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row>
    <row r="115" spans="3:22"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row>
    <row r="116" spans="3:22"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row>
    <row r="117" spans="3:22"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row>
    <row r="118" spans="3:22"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row>
    <row r="119" spans="3:22"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row>
    <row r="120" spans="3:22"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row>
    <row r="121" spans="3:22"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row>
    <row r="122" spans="3:22"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row>
    <row r="123" spans="3:22"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row>
    <row r="124" spans="3:22"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row>
    <row r="125" spans="3:22"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row>
    <row r="126" spans="3:22"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row>
    <row r="127" spans="3:22"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row>
    <row r="128" spans="3:22"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row>
    <row r="129" spans="3:22"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row>
    <row r="130" spans="3:22"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row>
    <row r="131" spans="3:22"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row>
    <row r="132" spans="3:22"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row>
    <row r="133" spans="3:22"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row>
    <row r="134" spans="3:22"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row>
    <row r="135" spans="3:22"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row>
    <row r="136" spans="3:22"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row>
    <row r="137" spans="3:22"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row>
    <row r="138" spans="3:22"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row>
    <row r="139" spans="3:22"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row>
    <row r="140" spans="3:22"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row>
    <row r="141" spans="3:22"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row>
    <row r="142" spans="3:22"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row>
    <row r="143" spans="3:22"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row>
    <row r="144" spans="3:22"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row>
    <row r="145" spans="3:22"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row>
    <row r="146" spans="3:22"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row>
    <row r="147" spans="3:22"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row>
    <row r="148" spans="3:22"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row>
    <row r="149" spans="3:22"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row>
    <row r="150" spans="3:22"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row>
    <row r="151" spans="3:22"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row>
    <row r="152" spans="3:22"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row>
    <row r="153" spans="3:22"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row>
    <row r="154" spans="3:22"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row>
    <row r="155" spans="3:22"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row>
    <row r="156" spans="3:22"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row>
    <row r="157" spans="3:22"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row>
    <row r="158" spans="3:22"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row>
    <row r="159" spans="3:22"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row>
    <row r="160" spans="3:22"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row>
    <row r="161" spans="3:22"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row>
    <row r="162" spans="3:22"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row>
    <row r="163" spans="3:22"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row>
    <row r="164" spans="3:22"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row>
    <row r="165" spans="3:22"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row>
    <row r="166" spans="3:22"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row>
    <row r="167" spans="3:22"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row>
    <row r="168" spans="3:22"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row>
    <row r="169" spans="3:22"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row>
    <row r="170" spans="3:22"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row>
    <row r="171" spans="3:22"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row>
    <row r="172" spans="3:22"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row>
    <row r="173" spans="3:22"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row>
    <row r="174" spans="3:22"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row>
    <row r="175" spans="3:22"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row>
    <row r="176" spans="3:22"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row>
    <row r="177" spans="3:22"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row>
    <row r="178" spans="3:22"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row>
    <row r="179" spans="3:22"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row>
    <row r="180" spans="3:22"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row>
    <row r="181" spans="3:22"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row>
    <row r="182" spans="3:22"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row>
    <row r="183" spans="3:22"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row>
    <row r="184" spans="3:22"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row>
    <row r="185" spans="3:22"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row>
    <row r="186" spans="3:22"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row>
    <row r="187" spans="3:22"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row>
    <row r="188" spans="3:22"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row>
    <row r="189" spans="3:22"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row>
    <row r="190" spans="3:22"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row>
    <row r="191" spans="3:22"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row>
    <row r="192" spans="3:22"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row>
    <row r="193" spans="3:22"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row>
    <row r="194" spans="3:22"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row>
    <row r="195" spans="3:22"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row>
    <row r="196" spans="3:22"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row>
    <row r="197" spans="3:22"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row>
    <row r="198" spans="3:22"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row>
    <row r="199" spans="3:22"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row>
    <row r="200" spans="3:22"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row>
    <row r="201" spans="3:22"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row>
    <row r="202" spans="3:22"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row>
    <row r="203" spans="3:22"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row>
    <row r="204" spans="3:22"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row>
    <row r="205" spans="3:22"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row>
    <row r="206" spans="3:22"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row>
    <row r="207" spans="3:22"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row>
    <row r="208" spans="3:22"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row>
    <row r="209" spans="3:22"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row>
    <row r="210" spans="3:22"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row>
    <row r="211" spans="3:22"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row>
    <row r="212" spans="3:22"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row>
    <row r="213" spans="3:22"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row>
    <row r="214" spans="3:22"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row>
    <row r="215" spans="3:22"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row>
    <row r="216" spans="3:22"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row>
    <row r="217" spans="3:22"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row>
    <row r="218" spans="3:22"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row>
    <row r="219" spans="3:22" ht="15.75" customHeight="1"/>
    <row r="220" spans="3:22" ht="15.75" customHeight="1"/>
    <row r="221" spans="3:22" ht="15.75" customHeight="1"/>
    <row r="222" spans="3:22" ht="15.75" customHeight="1"/>
    <row r="223" spans="3:22" ht="15.75" customHeight="1"/>
    <row r="224" spans="3:22"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958"/>
  <sheetViews>
    <sheetView workbookViewId="0">
      <selection activeCell="G13" sqref="G13"/>
    </sheetView>
  </sheetViews>
  <sheetFormatPr defaultColWidth="12.5703125" defaultRowHeight="15" customHeight="1"/>
  <cols>
    <col min="1" max="1" width="5.7109375" customWidth="1"/>
    <col min="2" max="2" width="26.7109375" customWidth="1"/>
    <col min="3" max="3" width="13.5703125" customWidth="1"/>
    <col min="4" max="4" width="12.5703125" customWidth="1"/>
    <col min="5" max="6" width="13.42578125" customWidth="1"/>
    <col min="7" max="7" width="12.7109375" customWidth="1"/>
    <col min="8" max="8" width="2.42578125" customWidth="1"/>
    <col min="9" max="9" width="49.140625" customWidth="1"/>
    <col min="10" max="10" width="2.7109375" customWidth="1"/>
    <col min="11" max="11" width="10.42578125" customWidth="1"/>
    <col min="12" max="12" width="11.42578125" customWidth="1"/>
    <col min="13" max="13" width="11" customWidth="1"/>
    <col min="14" max="15" width="10.42578125" customWidth="1"/>
    <col min="16" max="16" width="10" customWidth="1"/>
    <col min="17" max="17" width="10.140625" customWidth="1"/>
    <col min="18" max="18" width="11" customWidth="1"/>
    <col min="19" max="19" width="10.85546875" customWidth="1"/>
    <col min="20" max="20" width="10.42578125" customWidth="1"/>
    <col min="21" max="21" width="10.5703125" customWidth="1"/>
    <col min="22" max="22" width="9.5703125" customWidth="1"/>
    <col min="23" max="23" width="3.5703125" customWidth="1"/>
    <col min="24" max="24" width="13.140625" customWidth="1"/>
  </cols>
  <sheetData>
    <row r="1" spans="1:24" ht="15.75" customHeight="1">
      <c r="A1" s="128" t="s">
        <v>122</v>
      </c>
      <c r="B1" s="129"/>
      <c r="C1" s="292"/>
      <c r="D1" s="132"/>
      <c r="E1" s="132"/>
      <c r="F1" s="132"/>
      <c r="G1" s="132"/>
      <c r="H1" s="132"/>
      <c r="I1" s="132"/>
      <c r="J1" s="132"/>
      <c r="K1" s="132"/>
      <c r="L1" s="130"/>
      <c r="M1" s="129"/>
      <c r="N1" s="129"/>
      <c r="O1" s="129"/>
      <c r="P1" s="129"/>
      <c r="Q1" s="129"/>
      <c r="R1" s="129"/>
      <c r="S1" s="131"/>
      <c r="T1" s="131"/>
      <c r="U1" s="129"/>
      <c r="V1" s="129"/>
      <c r="W1" s="132"/>
      <c r="X1" s="103"/>
    </row>
    <row r="2" spans="1:24" ht="15.75" customHeight="1">
      <c r="A2" s="128" t="s">
        <v>306</v>
      </c>
      <c r="B2" s="129"/>
      <c r="C2" s="292"/>
      <c r="D2" s="132"/>
      <c r="E2" s="132"/>
      <c r="F2" s="132"/>
      <c r="G2" s="132"/>
      <c r="H2" s="132"/>
      <c r="I2" s="132"/>
      <c r="J2" s="132"/>
      <c r="K2" s="132"/>
      <c r="L2" s="129"/>
      <c r="M2" s="129"/>
      <c r="N2" s="129"/>
      <c r="O2" s="129"/>
      <c r="P2" s="129"/>
      <c r="Q2" s="129"/>
      <c r="R2" s="129"/>
      <c r="S2" s="129"/>
      <c r="T2" s="129"/>
      <c r="U2" s="129"/>
      <c r="V2" s="129"/>
      <c r="W2" s="132"/>
      <c r="X2" s="103"/>
    </row>
    <row r="3" spans="1:24" ht="15.75" customHeight="1">
      <c r="A3" s="293"/>
      <c r="B3" s="294"/>
      <c r="C3" s="292"/>
      <c r="D3" s="132"/>
      <c r="E3" s="132"/>
      <c r="F3" s="132"/>
      <c r="G3" s="132"/>
      <c r="H3" s="132"/>
      <c r="I3" s="132"/>
      <c r="J3" s="132"/>
      <c r="K3" s="132"/>
      <c r="L3" s="160"/>
      <c r="M3" s="160"/>
      <c r="N3" s="160"/>
      <c r="O3" s="295"/>
      <c r="P3" s="160"/>
      <c r="Q3" s="160"/>
      <c r="R3" s="160"/>
      <c r="S3" s="160"/>
      <c r="T3" s="160"/>
      <c r="U3" s="160"/>
      <c r="V3" s="160"/>
      <c r="W3" s="132"/>
      <c r="X3" s="103"/>
    </row>
    <row r="4" spans="1:24" ht="15.75" customHeight="1">
      <c r="A4" s="128"/>
      <c r="B4" s="129"/>
      <c r="C4" s="292"/>
      <c r="D4" s="136"/>
      <c r="E4" s="136"/>
      <c r="F4" s="136"/>
      <c r="G4" s="136"/>
      <c r="H4" s="136"/>
      <c r="I4" s="136"/>
      <c r="J4" s="136"/>
      <c r="K4" s="136"/>
      <c r="L4" s="596"/>
      <c r="M4" s="581"/>
      <c r="N4" s="581"/>
      <c r="O4" s="581"/>
      <c r="P4" s="596"/>
      <c r="Q4" s="581"/>
      <c r="R4" s="581"/>
      <c r="S4" s="296"/>
      <c r="T4" s="296"/>
      <c r="U4" s="296"/>
      <c r="V4" s="296"/>
      <c r="W4" s="136"/>
      <c r="X4" s="297"/>
    </row>
    <row r="5" spans="1:24" ht="36.75" customHeight="1">
      <c r="A5" s="128" t="s">
        <v>126</v>
      </c>
      <c r="B5" s="129"/>
      <c r="C5" s="137" t="s">
        <v>127</v>
      </c>
      <c r="D5" s="140" t="s">
        <v>128</v>
      </c>
      <c r="E5" s="140" t="s">
        <v>129</v>
      </c>
      <c r="F5" s="140" t="s">
        <v>130</v>
      </c>
      <c r="G5" s="140" t="s">
        <v>131</v>
      </c>
      <c r="H5" s="298"/>
      <c r="I5" s="299" t="s">
        <v>298</v>
      </c>
      <c r="J5" s="298"/>
      <c r="K5" s="142">
        <v>45474</v>
      </c>
      <c r="L5" s="142">
        <v>45505</v>
      </c>
      <c r="M5" s="142">
        <v>45536</v>
      </c>
      <c r="N5" s="142">
        <v>45566</v>
      </c>
      <c r="O5" s="142">
        <v>45597</v>
      </c>
      <c r="P5" s="142">
        <v>45627</v>
      </c>
      <c r="Q5" s="142">
        <v>45658</v>
      </c>
      <c r="R5" s="142">
        <v>45689</v>
      </c>
      <c r="S5" s="142">
        <v>45717</v>
      </c>
      <c r="T5" s="142">
        <v>45748</v>
      </c>
      <c r="U5" s="142">
        <v>45778</v>
      </c>
      <c r="V5" s="142">
        <v>45809</v>
      </c>
      <c r="W5" s="300"/>
      <c r="X5" s="144" t="s">
        <v>132</v>
      </c>
    </row>
    <row r="6" spans="1:24" ht="15.75" customHeight="1">
      <c r="A6" s="129"/>
      <c r="B6" s="129"/>
      <c r="C6" s="292">
        <v>0</v>
      </c>
      <c r="D6" s="210">
        <v>0</v>
      </c>
      <c r="E6" s="210"/>
      <c r="F6" s="210"/>
      <c r="G6" s="147">
        <f>F6-C6</f>
        <v>0</v>
      </c>
      <c r="H6" s="249"/>
      <c r="I6" s="210"/>
      <c r="J6" s="249"/>
      <c r="K6" s="214"/>
      <c r="L6" s="214"/>
      <c r="M6" s="214"/>
      <c r="N6" s="214"/>
      <c r="O6" s="214"/>
      <c r="P6" s="214"/>
      <c r="Q6" s="214"/>
      <c r="R6" s="214"/>
      <c r="S6" s="214"/>
      <c r="T6" s="214"/>
      <c r="U6" s="214"/>
      <c r="V6" s="214"/>
      <c r="W6" s="301"/>
      <c r="X6" s="144">
        <f t="shared" ref="X6:X7" si="0">SUM(K6:V6)</f>
        <v>0</v>
      </c>
    </row>
    <row r="7" spans="1:24" ht="15.75" customHeight="1">
      <c r="A7" s="128" t="s">
        <v>153</v>
      </c>
      <c r="B7" s="128"/>
      <c r="C7" s="302">
        <f t="shared" ref="C7:D7" si="1">SUM(C6)</f>
        <v>0</v>
      </c>
      <c r="D7" s="303">
        <f t="shared" si="1"/>
        <v>0</v>
      </c>
      <c r="E7" s="303"/>
      <c r="F7" s="303">
        <f t="shared" ref="F7:G7" si="2">SUM(F6)</f>
        <v>0</v>
      </c>
      <c r="G7" s="303">
        <f t="shared" si="2"/>
        <v>0</v>
      </c>
      <c r="H7" s="192"/>
      <c r="I7" s="229"/>
      <c r="J7" s="192"/>
      <c r="K7" s="279">
        <f t="shared" ref="K7:V7" si="3">SUM(K6)</f>
        <v>0</v>
      </c>
      <c r="L7" s="279">
        <f t="shared" si="3"/>
        <v>0</v>
      </c>
      <c r="M7" s="279">
        <f t="shared" si="3"/>
        <v>0</v>
      </c>
      <c r="N7" s="279">
        <f t="shared" si="3"/>
        <v>0</v>
      </c>
      <c r="O7" s="279">
        <f t="shared" si="3"/>
        <v>0</v>
      </c>
      <c r="P7" s="279">
        <f t="shared" si="3"/>
        <v>0</v>
      </c>
      <c r="Q7" s="279">
        <f t="shared" si="3"/>
        <v>0</v>
      </c>
      <c r="R7" s="279">
        <f t="shared" si="3"/>
        <v>0</v>
      </c>
      <c r="S7" s="279">
        <f t="shared" si="3"/>
        <v>0</v>
      </c>
      <c r="T7" s="279">
        <f t="shared" si="3"/>
        <v>0</v>
      </c>
      <c r="U7" s="279">
        <f t="shared" si="3"/>
        <v>0</v>
      </c>
      <c r="V7" s="279">
        <f t="shared" si="3"/>
        <v>0</v>
      </c>
      <c r="W7" s="300"/>
      <c r="X7" s="144">
        <f t="shared" si="0"/>
        <v>0</v>
      </c>
    </row>
    <row r="8" spans="1:24" ht="15.75" customHeight="1">
      <c r="A8" s="128"/>
      <c r="B8" s="129"/>
      <c r="C8" s="292"/>
      <c r="D8" s="198"/>
      <c r="E8" s="198"/>
      <c r="F8" s="198"/>
      <c r="G8" s="198"/>
      <c r="H8" s="198"/>
      <c r="I8" s="198"/>
      <c r="J8" s="198"/>
      <c r="K8" s="198"/>
      <c r="L8" s="295"/>
      <c r="M8" s="295"/>
      <c r="N8" s="295"/>
      <c r="O8" s="295"/>
      <c r="P8" s="295"/>
      <c r="Q8" s="295"/>
      <c r="R8" s="295"/>
      <c r="S8" s="295"/>
      <c r="T8" s="295"/>
      <c r="U8" s="295"/>
      <c r="V8" s="295"/>
      <c r="W8" s="198"/>
      <c r="X8" s="304"/>
    </row>
    <row r="9" spans="1:24" ht="37.5" customHeight="1">
      <c r="A9" s="128" t="s">
        <v>154</v>
      </c>
      <c r="B9" s="129"/>
      <c r="C9" s="137" t="s">
        <v>127</v>
      </c>
      <c r="D9" s="140" t="s">
        <v>128</v>
      </c>
      <c r="E9" s="140" t="s">
        <v>129</v>
      </c>
      <c r="F9" s="140" t="s">
        <v>130</v>
      </c>
      <c r="G9" s="140" t="s">
        <v>131</v>
      </c>
      <c r="H9" s="305"/>
      <c r="I9" s="306"/>
      <c r="J9" s="141"/>
      <c r="K9" s="142">
        <v>45474</v>
      </c>
      <c r="L9" s="142">
        <v>45505</v>
      </c>
      <c r="M9" s="142">
        <v>45536</v>
      </c>
      <c r="N9" s="142">
        <v>45566</v>
      </c>
      <c r="O9" s="142">
        <v>45597</v>
      </c>
      <c r="P9" s="142">
        <v>45627</v>
      </c>
      <c r="Q9" s="142">
        <v>45658</v>
      </c>
      <c r="R9" s="142">
        <v>45689</v>
      </c>
      <c r="S9" s="142">
        <v>45717</v>
      </c>
      <c r="T9" s="142">
        <v>45748</v>
      </c>
      <c r="U9" s="142">
        <v>45778</v>
      </c>
      <c r="V9" s="307">
        <v>45809</v>
      </c>
      <c r="W9" s="308"/>
      <c r="X9" s="309" t="s">
        <v>132</v>
      </c>
    </row>
    <row r="10" spans="1:24" ht="15.75" customHeight="1">
      <c r="A10" s="232"/>
      <c r="B10" s="232" t="s">
        <v>299</v>
      </c>
      <c r="C10" s="310">
        <f t="shared" ref="C10:F10" si="4">SUM(C11:C13)</f>
        <v>0</v>
      </c>
      <c r="D10" s="310">
        <f t="shared" si="4"/>
        <v>0</v>
      </c>
      <c r="E10" s="310">
        <f t="shared" si="4"/>
        <v>0</v>
      </c>
      <c r="F10" s="310">
        <f t="shared" si="4"/>
        <v>10000</v>
      </c>
      <c r="G10" s="311">
        <f t="shared" ref="G10:G13" si="5">F10-C10</f>
        <v>10000</v>
      </c>
      <c r="H10" s="312"/>
      <c r="I10" s="314"/>
      <c r="J10" s="219"/>
      <c r="K10" s="225">
        <f t="shared" ref="K10:V10" si="6">SUM(K11:K13)</f>
        <v>3.6363636354508344E-4</v>
      </c>
      <c r="L10" s="225">
        <f t="shared" si="6"/>
        <v>1000.0003636363635</v>
      </c>
      <c r="M10" s="225">
        <f t="shared" si="6"/>
        <v>1000.0003636363635</v>
      </c>
      <c r="N10" s="225">
        <f t="shared" si="6"/>
        <v>1000.0003636363635</v>
      </c>
      <c r="O10" s="225">
        <f t="shared" si="6"/>
        <v>1000.0003636363635</v>
      </c>
      <c r="P10" s="225">
        <f t="shared" si="6"/>
        <v>1000.0003636363635</v>
      </c>
      <c r="Q10" s="225">
        <f t="shared" si="6"/>
        <v>1000.0003636363635</v>
      </c>
      <c r="R10" s="225">
        <f t="shared" si="6"/>
        <v>1000.0003636363635</v>
      </c>
      <c r="S10" s="225">
        <f t="shared" si="6"/>
        <v>1000.0003636363635</v>
      </c>
      <c r="T10" s="225">
        <f t="shared" si="6"/>
        <v>1000.0003636363635</v>
      </c>
      <c r="U10" s="225">
        <f t="shared" si="6"/>
        <v>1000.0003636363635</v>
      </c>
      <c r="V10" s="225">
        <f t="shared" si="6"/>
        <v>0</v>
      </c>
      <c r="W10" s="143"/>
      <c r="X10" s="225">
        <f>SUM(X11:X13)</f>
        <v>10000.003999999999</v>
      </c>
    </row>
    <row r="11" spans="1:24" ht="15.75" customHeight="1">
      <c r="A11" s="128"/>
      <c r="B11" s="132" t="s">
        <v>264</v>
      </c>
      <c r="C11" s="166">
        <v>0</v>
      </c>
      <c r="D11" s="67">
        <v>0</v>
      </c>
      <c r="E11" s="67">
        <v>0</v>
      </c>
      <c r="F11" s="67">
        <v>5000</v>
      </c>
      <c r="G11" s="314">
        <f t="shared" si="5"/>
        <v>5000</v>
      </c>
      <c r="H11" s="315"/>
      <c r="I11" s="316"/>
      <c r="J11" s="317"/>
      <c r="K11" s="318"/>
      <c r="L11" s="319">
        <f t="shared" ref="L11:U11" si="7">5000/10</f>
        <v>500</v>
      </c>
      <c r="M11" s="319">
        <f t="shared" si="7"/>
        <v>500</v>
      </c>
      <c r="N11" s="319">
        <f t="shared" si="7"/>
        <v>500</v>
      </c>
      <c r="O11" s="319">
        <f t="shared" si="7"/>
        <v>500</v>
      </c>
      <c r="P11" s="319">
        <f t="shared" si="7"/>
        <v>500</v>
      </c>
      <c r="Q11" s="319">
        <f t="shared" si="7"/>
        <v>500</v>
      </c>
      <c r="R11" s="319">
        <f t="shared" si="7"/>
        <v>500</v>
      </c>
      <c r="S11" s="319">
        <f t="shared" si="7"/>
        <v>500</v>
      </c>
      <c r="T11" s="319">
        <f t="shared" si="7"/>
        <v>500</v>
      </c>
      <c r="U11" s="319">
        <f t="shared" si="7"/>
        <v>500</v>
      </c>
      <c r="V11" s="319"/>
      <c r="W11" s="143"/>
      <c r="X11" s="309">
        <f t="shared" ref="X11:X13" si="8">SUM(K11:V11)</f>
        <v>5000</v>
      </c>
    </row>
    <row r="12" spans="1:24" ht="25.5" customHeight="1">
      <c r="A12" s="128"/>
      <c r="B12" s="132" t="s">
        <v>307</v>
      </c>
      <c r="C12" s="166">
        <v>0</v>
      </c>
      <c r="D12" s="67">
        <v>0</v>
      </c>
      <c r="E12" s="67">
        <v>0</v>
      </c>
      <c r="F12" s="67">
        <f>110800-110800</f>
        <v>0</v>
      </c>
      <c r="G12" s="314">
        <f t="shared" si="5"/>
        <v>0</v>
      </c>
      <c r="H12" s="315"/>
      <c r="I12" s="357" t="s">
        <v>308</v>
      </c>
      <c r="J12" s="317"/>
      <c r="K12" s="318">
        <f>((280*2)*180)/11-9163.636</f>
        <v>3.6363636354508344E-4</v>
      </c>
      <c r="L12" s="318">
        <f t="shared" ref="L12:U12" si="9">((280*2)*180)/11+10000/10-10163.636</f>
        <v>3.6363636354508344E-4</v>
      </c>
      <c r="M12" s="318">
        <f t="shared" si="9"/>
        <v>3.6363636354508344E-4</v>
      </c>
      <c r="N12" s="318">
        <f t="shared" si="9"/>
        <v>3.6363636354508344E-4</v>
      </c>
      <c r="O12" s="318">
        <f t="shared" si="9"/>
        <v>3.6363636354508344E-4</v>
      </c>
      <c r="P12" s="318">
        <f t="shared" si="9"/>
        <v>3.6363636354508344E-4</v>
      </c>
      <c r="Q12" s="318">
        <f t="shared" si="9"/>
        <v>3.6363636354508344E-4</v>
      </c>
      <c r="R12" s="318">
        <f t="shared" si="9"/>
        <v>3.6363636354508344E-4</v>
      </c>
      <c r="S12" s="318">
        <f t="shared" si="9"/>
        <v>3.6363636354508344E-4</v>
      </c>
      <c r="T12" s="318">
        <f t="shared" si="9"/>
        <v>3.6363636354508344E-4</v>
      </c>
      <c r="U12" s="318">
        <f t="shared" si="9"/>
        <v>3.6363636354508344E-4</v>
      </c>
      <c r="V12" s="319"/>
      <c r="W12" s="143"/>
      <c r="X12" s="309">
        <f t="shared" si="8"/>
        <v>3.9999999989959178E-3</v>
      </c>
    </row>
    <row r="13" spans="1:24" ht="15.75" customHeight="1">
      <c r="A13" s="128"/>
      <c r="B13" s="132" t="s">
        <v>276</v>
      </c>
      <c r="C13" s="166">
        <v>0</v>
      </c>
      <c r="D13" s="67">
        <v>0</v>
      </c>
      <c r="E13" s="67">
        <v>0</v>
      </c>
      <c r="F13" s="67">
        <v>5000</v>
      </c>
      <c r="G13" s="314">
        <f t="shared" si="5"/>
        <v>5000</v>
      </c>
      <c r="H13" s="315"/>
      <c r="I13" s="316"/>
      <c r="J13" s="317"/>
      <c r="K13" s="318"/>
      <c r="L13" s="319">
        <f t="shared" ref="L13:U13" si="10">5000/10</f>
        <v>500</v>
      </c>
      <c r="M13" s="319">
        <f t="shared" si="10"/>
        <v>500</v>
      </c>
      <c r="N13" s="319">
        <f t="shared" si="10"/>
        <v>500</v>
      </c>
      <c r="O13" s="319">
        <f t="shared" si="10"/>
        <v>500</v>
      </c>
      <c r="P13" s="319">
        <f t="shared" si="10"/>
        <v>500</v>
      </c>
      <c r="Q13" s="319">
        <f t="shared" si="10"/>
        <v>500</v>
      </c>
      <c r="R13" s="319">
        <f t="shared" si="10"/>
        <v>500</v>
      </c>
      <c r="S13" s="319">
        <f t="shared" si="10"/>
        <v>500</v>
      </c>
      <c r="T13" s="319">
        <f t="shared" si="10"/>
        <v>500</v>
      </c>
      <c r="U13" s="319">
        <f t="shared" si="10"/>
        <v>500</v>
      </c>
      <c r="V13" s="319"/>
      <c r="W13" s="143"/>
      <c r="X13" s="309">
        <f t="shared" si="8"/>
        <v>5000</v>
      </c>
    </row>
    <row r="14" spans="1:24" ht="15.75" customHeight="1">
      <c r="A14" s="128" t="s">
        <v>302</v>
      </c>
      <c r="B14" s="128"/>
      <c r="C14" s="321">
        <f t="shared" ref="C14:G14" si="11">C10</f>
        <v>0</v>
      </c>
      <c r="D14" s="321">
        <f t="shared" si="11"/>
        <v>0</v>
      </c>
      <c r="E14" s="321">
        <f t="shared" si="11"/>
        <v>0</v>
      </c>
      <c r="F14" s="321">
        <f t="shared" si="11"/>
        <v>10000</v>
      </c>
      <c r="G14" s="322">
        <f t="shared" si="11"/>
        <v>10000</v>
      </c>
      <c r="H14" s="312"/>
      <c r="I14" s="314"/>
      <c r="J14" s="219"/>
      <c r="K14" s="323">
        <f t="shared" ref="K14:V14" si="12">K10</f>
        <v>3.6363636354508344E-4</v>
      </c>
      <c r="L14" s="323">
        <f t="shared" si="12"/>
        <v>1000.0003636363635</v>
      </c>
      <c r="M14" s="323">
        <f t="shared" si="12"/>
        <v>1000.0003636363635</v>
      </c>
      <c r="N14" s="323">
        <f t="shared" si="12"/>
        <v>1000.0003636363635</v>
      </c>
      <c r="O14" s="323">
        <f t="shared" si="12"/>
        <v>1000.0003636363635</v>
      </c>
      <c r="P14" s="323">
        <f t="shared" si="12"/>
        <v>1000.0003636363635</v>
      </c>
      <c r="Q14" s="323">
        <f t="shared" si="12"/>
        <v>1000.0003636363635</v>
      </c>
      <c r="R14" s="323">
        <f t="shared" si="12"/>
        <v>1000.0003636363635</v>
      </c>
      <c r="S14" s="323">
        <f t="shared" si="12"/>
        <v>1000.0003636363635</v>
      </c>
      <c r="T14" s="323">
        <f t="shared" si="12"/>
        <v>1000.0003636363635</v>
      </c>
      <c r="U14" s="323">
        <f t="shared" si="12"/>
        <v>1000.0003636363635</v>
      </c>
      <c r="V14" s="323">
        <f t="shared" si="12"/>
        <v>0</v>
      </c>
      <c r="W14" s="324"/>
      <c r="X14" s="323">
        <f>X10</f>
        <v>10000.003999999999</v>
      </c>
    </row>
    <row r="15" spans="1:24" ht="15.75" customHeight="1">
      <c r="A15" s="129"/>
      <c r="B15" s="129"/>
      <c r="C15" s="292"/>
      <c r="D15" s="198"/>
      <c r="E15" s="198"/>
      <c r="F15" s="198"/>
      <c r="G15" s="198"/>
      <c r="H15" s="198"/>
      <c r="I15" s="198"/>
      <c r="J15" s="198"/>
      <c r="K15" s="198"/>
      <c r="L15" s="196"/>
      <c r="M15" s="196"/>
      <c r="N15" s="196"/>
      <c r="O15" s="196"/>
      <c r="P15" s="196"/>
      <c r="Q15" s="196"/>
      <c r="R15" s="196"/>
      <c r="S15" s="196"/>
      <c r="T15" s="196"/>
      <c r="U15" s="196"/>
      <c r="V15" s="196"/>
      <c r="W15" s="275"/>
      <c r="X15" s="325"/>
    </row>
    <row r="16" spans="1:24" ht="15.75" hidden="1" customHeight="1">
      <c r="A16" s="276" t="s">
        <v>291</v>
      </c>
      <c r="B16" s="129"/>
      <c r="C16" s="292"/>
      <c r="D16" s="210"/>
      <c r="E16" s="210"/>
      <c r="F16" s="210"/>
      <c r="G16" s="210"/>
      <c r="H16" s="210"/>
      <c r="I16" s="210"/>
      <c r="J16" s="210"/>
      <c r="K16" s="326">
        <f t="shared" ref="K16:V16" si="13">K7-K14</f>
        <v>-3.6363636354508344E-4</v>
      </c>
      <c r="L16" s="278">
        <f t="shared" si="13"/>
        <v>-1000.0003636363635</v>
      </c>
      <c r="M16" s="278">
        <f t="shared" si="13"/>
        <v>-1000.0003636363635</v>
      </c>
      <c r="N16" s="278">
        <f t="shared" si="13"/>
        <v>-1000.0003636363635</v>
      </c>
      <c r="O16" s="278">
        <f t="shared" si="13"/>
        <v>-1000.0003636363635</v>
      </c>
      <c r="P16" s="278">
        <f t="shared" si="13"/>
        <v>-1000.0003636363635</v>
      </c>
      <c r="Q16" s="278">
        <f t="shared" si="13"/>
        <v>-1000.0003636363635</v>
      </c>
      <c r="R16" s="278">
        <f t="shared" si="13"/>
        <v>-1000.0003636363635</v>
      </c>
      <c r="S16" s="278">
        <f t="shared" si="13"/>
        <v>-1000.0003636363635</v>
      </c>
      <c r="T16" s="278">
        <f t="shared" si="13"/>
        <v>-1000.0003636363635</v>
      </c>
      <c r="U16" s="278">
        <f t="shared" si="13"/>
        <v>-1000.0003636363635</v>
      </c>
      <c r="V16" s="278">
        <f t="shared" si="13"/>
        <v>0</v>
      </c>
      <c r="W16" s="279"/>
      <c r="X16" s="327"/>
    </row>
    <row r="17" spans="1:24" ht="15.75" hidden="1" customHeight="1">
      <c r="A17" s="128"/>
      <c r="B17" s="129"/>
      <c r="C17" s="292"/>
      <c r="D17" s="132"/>
      <c r="E17" s="132"/>
      <c r="F17" s="132"/>
      <c r="G17" s="132"/>
      <c r="H17" s="132"/>
      <c r="I17" s="132"/>
      <c r="J17" s="132"/>
      <c r="K17" s="132"/>
      <c r="L17" s="129"/>
      <c r="M17" s="129"/>
      <c r="N17" s="129"/>
      <c r="O17" s="129"/>
      <c r="P17" s="129"/>
      <c r="Q17" s="129"/>
      <c r="R17" s="129"/>
      <c r="S17" s="129"/>
      <c r="T17" s="129"/>
      <c r="U17" s="129"/>
      <c r="V17" s="129"/>
      <c r="W17" s="275"/>
      <c r="X17" s="325"/>
    </row>
    <row r="18" spans="1:24" ht="15.75" hidden="1" customHeight="1">
      <c r="C18" s="328"/>
      <c r="D18" s="289"/>
      <c r="E18" s="289"/>
      <c r="F18" s="289"/>
      <c r="G18" s="289"/>
      <c r="H18" s="289"/>
      <c r="I18" s="289"/>
      <c r="J18" s="289"/>
      <c r="K18" s="289"/>
      <c r="L18" s="289"/>
      <c r="M18" s="289"/>
      <c r="N18" s="289"/>
      <c r="O18" s="289"/>
      <c r="P18" s="289"/>
      <c r="Q18" s="289"/>
      <c r="R18" s="289"/>
      <c r="S18" s="289"/>
      <c r="T18" s="289"/>
      <c r="U18" s="289"/>
      <c r="V18" s="289"/>
      <c r="X18" s="329"/>
    </row>
    <row r="19" spans="1:24" ht="15.75" hidden="1" customHeight="1">
      <c r="C19" s="328"/>
      <c r="D19" s="289"/>
      <c r="E19" s="289"/>
      <c r="F19" s="289"/>
      <c r="G19" s="289"/>
      <c r="H19" s="289"/>
      <c r="I19" s="289"/>
      <c r="J19" s="289"/>
      <c r="K19" s="289"/>
      <c r="L19" s="289"/>
      <c r="M19" s="289"/>
      <c r="N19" s="289"/>
      <c r="O19" s="289"/>
      <c r="P19" s="289"/>
      <c r="Q19" s="289"/>
      <c r="R19" s="289"/>
      <c r="S19" s="291"/>
      <c r="T19" s="289"/>
      <c r="U19" s="289"/>
      <c r="V19" s="289"/>
      <c r="X19" s="329"/>
    </row>
    <row r="20" spans="1:24" ht="15.75" hidden="1" customHeight="1">
      <c r="C20" s="328"/>
      <c r="D20" s="289"/>
      <c r="E20" s="289"/>
      <c r="F20" s="289"/>
      <c r="G20" s="289"/>
      <c r="H20" s="289"/>
      <c r="I20" s="289"/>
      <c r="J20" s="289"/>
      <c r="K20" s="289"/>
      <c r="L20" s="289"/>
      <c r="M20" s="289"/>
      <c r="N20" s="289"/>
      <c r="O20" s="289"/>
      <c r="P20" s="289"/>
      <c r="Q20" s="289"/>
      <c r="R20" s="289"/>
      <c r="S20" s="289"/>
      <c r="T20" s="289"/>
      <c r="U20" s="289"/>
      <c r="V20" s="289"/>
      <c r="X20" s="329"/>
    </row>
    <row r="21" spans="1:24" ht="15.75" hidden="1" customHeight="1">
      <c r="C21" s="328"/>
      <c r="D21" s="289"/>
      <c r="E21" s="289"/>
      <c r="F21" s="289"/>
      <c r="G21" s="289"/>
      <c r="H21" s="289"/>
      <c r="I21" s="289"/>
      <c r="J21" s="289"/>
      <c r="K21" s="289"/>
      <c r="L21" s="289"/>
      <c r="M21" s="289"/>
      <c r="N21" s="289"/>
      <c r="O21" s="289"/>
      <c r="P21" s="289"/>
      <c r="Q21" s="289"/>
      <c r="R21" s="289"/>
      <c r="S21" s="289"/>
      <c r="T21" s="289"/>
      <c r="U21" s="289"/>
      <c r="V21" s="289"/>
      <c r="X21" s="329"/>
    </row>
    <row r="22" spans="1:24" ht="15.75" hidden="1" customHeight="1">
      <c r="C22" s="328"/>
      <c r="D22" s="289"/>
      <c r="E22" s="289"/>
      <c r="F22" s="289"/>
      <c r="G22" s="289"/>
      <c r="H22" s="289"/>
      <c r="I22" s="289"/>
      <c r="J22" s="289"/>
      <c r="K22" s="289"/>
      <c r="L22" s="289"/>
      <c r="M22" s="289"/>
      <c r="N22" s="289"/>
      <c r="O22" s="289"/>
      <c r="P22" s="289"/>
      <c r="Q22" s="289"/>
      <c r="R22" s="289"/>
      <c r="S22" s="289"/>
      <c r="T22" s="289"/>
      <c r="U22" s="289"/>
      <c r="V22" s="289"/>
      <c r="X22" s="329"/>
    </row>
    <row r="23" spans="1:24" ht="15.75" hidden="1" customHeight="1">
      <c r="C23" s="328"/>
      <c r="D23" s="289"/>
      <c r="E23" s="289"/>
      <c r="F23" s="289"/>
      <c r="G23" s="289"/>
      <c r="H23" s="289"/>
      <c r="I23" s="289"/>
      <c r="J23" s="289"/>
      <c r="K23" s="289"/>
      <c r="L23" s="289"/>
      <c r="M23" s="289"/>
      <c r="N23" s="289"/>
      <c r="O23" s="289"/>
      <c r="P23" s="289"/>
      <c r="Q23" s="289"/>
      <c r="R23" s="289"/>
      <c r="S23" s="289"/>
      <c r="T23" s="289"/>
      <c r="U23" s="289"/>
      <c r="V23" s="289"/>
      <c r="X23" s="329"/>
    </row>
    <row r="24" spans="1:24" ht="15.75" hidden="1" customHeight="1">
      <c r="C24" s="328"/>
      <c r="D24" s="289"/>
      <c r="E24" s="289"/>
      <c r="F24" s="289"/>
      <c r="G24" s="289"/>
      <c r="H24" s="289"/>
      <c r="I24" s="289"/>
      <c r="J24" s="289"/>
      <c r="K24" s="289"/>
      <c r="L24" s="289"/>
      <c r="M24" s="289"/>
      <c r="N24" s="289"/>
      <c r="O24" s="289"/>
      <c r="P24" s="289"/>
      <c r="Q24" s="289"/>
      <c r="R24" s="289"/>
      <c r="S24" s="289"/>
      <c r="T24" s="289"/>
      <c r="U24" s="289"/>
      <c r="V24" s="289"/>
      <c r="X24" s="329"/>
    </row>
    <row r="25" spans="1:24" ht="15.75" customHeight="1">
      <c r="C25" s="328"/>
      <c r="D25" s="289"/>
      <c r="E25" s="289"/>
      <c r="F25" s="289"/>
      <c r="G25" s="289"/>
      <c r="H25" s="289"/>
      <c r="I25" s="289"/>
      <c r="J25" s="289"/>
      <c r="K25" s="289"/>
      <c r="L25" s="289"/>
      <c r="M25" s="289"/>
      <c r="N25" s="289"/>
      <c r="O25" s="289"/>
      <c r="P25" s="289"/>
      <c r="Q25" s="289"/>
      <c r="R25" s="289"/>
      <c r="S25" s="289"/>
      <c r="T25" s="289"/>
      <c r="U25" s="289"/>
      <c r="V25" s="289"/>
      <c r="X25" s="329"/>
    </row>
    <row r="26" spans="1:24" ht="15.75" customHeight="1">
      <c r="C26" s="328"/>
      <c r="D26" s="289"/>
      <c r="E26" s="289"/>
      <c r="F26" s="289"/>
      <c r="G26" s="289"/>
      <c r="H26" s="289"/>
      <c r="I26" s="289"/>
      <c r="J26" s="289"/>
      <c r="K26" s="289"/>
      <c r="L26" s="289"/>
      <c r="M26" s="289"/>
      <c r="N26" s="289"/>
      <c r="O26" s="289"/>
      <c r="P26" s="289"/>
      <c r="Q26" s="289"/>
      <c r="R26" s="289"/>
      <c r="S26" s="289"/>
      <c r="T26" s="289"/>
      <c r="U26" s="289"/>
      <c r="V26" s="289"/>
      <c r="X26" s="329"/>
    </row>
    <row r="27" spans="1:24" ht="15.75" customHeight="1">
      <c r="C27" s="328"/>
      <c r="D27" s="289"/>
      <c r="E27" s="289"/>
      <c r="F27" s="289"/>
      <c r="G27" s="289"/>
      <c r="H27" s="289"/>
      <c r="I27" s="289"/>
      <c r="J27" s="289"/>
      <c r="K27" s="289"/>
      <c r="L27" s="289"/>
      <c r="M27" s="289"/>
      <c r="N27" s="289"/>
      <c r="O27" s="289"/>
      <c r="P27" s="289"/>
      <c r="Q27" s="289"/>
      <c r="R27" s="289"/>
      <c r="S27" s="289"/>
      <c r="T27" s="289"/>
      <c r="U27" s="289"/>
      <c r="V27" s="289"/>
      <c r="X27" s="329"/>
    </row>
    <row r="28" spans="1:24" ht="15.75" customHeight="1">
      <c r="C28" s="328"/>
      <c r="D28" s="289"/>
      <c r="E28" s="289"/>
      <c r="F28" s="289"/>
      <c r="G28" s="289"/>
      <c r="H28" s="289"/>
      <c r="I28" s="289"/>
      <c r="J28" s="289"/>
      <c r="K28" s="289"/>
      <c r="L28" s="289"/>
      <c r="M28" s="289"/>
      <c r="N28" s="289"/>
      <c r="O28" s="289"/>
      <c r="P28" s="289"/>
      <c r="Q28" s="289"/>
      <c r="R28" s="289"/>
      <c r="S28" s="289"/>
      <c r="T28" s="289"/>
      <c r="U28" s="289"/>
      <c r="V28" s="289"/>
      <c r="X28" s="329"/>
    </row>
    <row r="29" spans="1:24" ht="15.75" customHeight="1">
      <c r="C29" s="328"/>
      <c r="D29" s="289"/>
      <c r="E29" s="289"/>
      <c r="F29" s="289"/>
      <c r="G29" s="289"/>
      <c r="H29" s="289"/>
      <c r="I29" s="289"/>
      <c r="J29" s="289"/>
      <c r="K29" s="289"/>
      <c r="L29" s="289"/>
      <c r="M29" s="289"/>
      <c r="N29" s="289"/>
      <c r="O29" s="289"/>
      <c r="P29" s="289"/>
      <c r="Q29" s="289"/>
      <c r="R29" s="289"/>
      <c r="S29" s="289"/>
      <c r="T29" s="289"/>
      <c r="U29" s="289"/>
      <c r="V29" s="289"/>
      <c r="X29" s="329"/>
    </row>
    <row r="30" spans="1:24" ht="15.75" customHeight="1">
      <c r="C30" s="328"/>
      <c r="D30" s="289"/>
      <c r="E30" s="289"/>
      <c r="F30" s="289"/>
      <c r="G30" s="289"/>
      <c r="H30" s="289"/>
      <c r="I30" s="289"/>
      <c r="J30" s="289"/>
      <c r="K30" s="289"/>
      <c r="L30" s="289"/>
      <c r="M30" s="289"/>
      <c r="N30" s="289"/>
      <c r="O30" s="289"/>
      <c r="P30" s="289"/>
      <c r="Q30" s="289"/>
      <c r="R30" s="289"/>
      <c r="S30" s="289"/>
      <c r="T30" s="289"/>
      <c r="U30" s="289"/>
      <c r="V30" s="289"/>
      <c r="X30" s="329"/>
    </row>
    <row r="31" spans="1:24" ht="15.75" customHeight="1">
      <c r="C31" s="328"/>
      <c r="D31" s="289"/>
      <c r="E31" s="289"/>
      <c r="F31" s="289"/>
      <c r="G31" s="289"/>
      <c r="H31" s="289"/>
      <c r="I31" s="289"/>
      <c r="J31" s="289"/>
      <c r="K31" s="289"/>
      <c r="L31" s="289"/>
      <c r="M31" s="289"/>
      <c r="N31" s="289"/>
      <c r="O31" s="289"/>
      <c r="P31" s="289"/>
      <c r="Q31" s="289"/>
      <c r="R31" s="289"/>
      <c r="S31" s="289"/>
      <c r="T31" s="289"/>
      <c r="U31" s="289"/>
      <c r="V31" s="289"/>
      <c r="X31" s="329"/>
    </row>
    <row r="32" spans="1:24" ht="15.75" customHeight="1">
      <c r="C32" s="328"/>
      <c r="D32" s="289"/>
      <c r="E32" s="289"/>
      <c r="F32" s="289"/>
      <c r="G32" s="289"/>
      <c r="H32" s="289"/>
      <c r="I32" s="289"/>
      <c r="J32" s="289"/>
      <c r="K32" s="289"/>
      <c r="L32" s="289"/>
      <c r="M32" s="289"/>
      <c r="N32" s="289"/>
      <c r="O32" s="289"/>
      <c r="P32" s="289"/>
      <c r="Q32" s="289"/>
      <c r="R32" s="289"/>
      <c r="S32" s="289"/>
      <c r="T32" s="289"/>
      <c r="U32" s="289"/>
      <c r="V32" s="289"/>
      <c r="X32" s="329"/>
    </row>
    <row r="33" spans="3:24" ht="15.75" customHeight="1">
      <c r="C33" s="328"/>
      <c r="D33" s="289"/>
      <c r="E33" s="289"/>
      <c r="F33" s="289"/>
      <c r="G33" s="289"/>
      <c r="H33" s="289"/>
      <c r="I33" s="289"/>
      <c r="J33" s="289"/>
      <c r="K33" s="289"/>
      <c r="L33" s="289"/>
      <c r="M33" s="289"/>
      <c r="N33" s="289"/>
      <c r="O33" s="289"/>
      <c r="P33" s="289"/>
      <c r="Q33" s="289"/>
      <c r="R33" s="289"/>
      <c r="S33" s="289"/>
      <c r="T33" s="289"/>
      <c r="U33" s="289"/>
      <c r="V33" s="289"/>
      <c r="X33" s="329"/>
    </row>
    <row r="34" spans="3:24" ht="15.75" customHeight="1">
      <c r="C34" s="328"/>
      <c r="D34" s="289"/>
      <c r="E34" s="289"/>
      <c r="F34" s="289"/>
      <c r="G34" s="289"/>
      <c r="H34" s="289"/>
      <c r="I34" s="289"/>
      <c r="J34" s="289"/>
      <c r="K34" s="289"/>
      <c r="L34" s="289"/>
      <c r="M34" s="289"/>
      <c r="N34" s="289"/>
      <c r="O34" s="289"/>
      <c r="P34" s="289"/>
      <c r="Q34" s="289"/>
      <c r="R34" s="289"/>
      <c r="S34" s="289"/>
      <c r="T34" s="289"/>
      <c r="U34" s="289"/>
      <c r="V34" s="289"/>
      <c r="X34" s="329"/>
    </row>
    <row r="35" spans="3:24" ht="15.75" customHeight="1">
      <c r="C35" s="328"/>
      <c r="D35" s="289"/>
      <c r="E35" s="289"/>
      <c r="F35" s="289"/>
      <c r="G35" s="289"/>
      <c r="H35" s="289"/>
      <c r="I35" s="289"/>
      <c r="J35" s="289"/>
      <c r="K35" s="289"/>
      <c r="L35" s="289"/>
      <c r="M35" s="289"/>
      <c r="N35" s="289"/>
      <c r="O35" s="289"/>
      <c r="P35" s="289"/>
      <c r="Q35" s="289"/>
      <c r="R35" s="289"/>
      <c r="S35" s="289"/>
      <c r="T35" s="289"/>
      <c r="U35" s="289"/>
      <c r="V35" s="289"/>
      <c r="X35" s="32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X36" s="32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X37" s="32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X38" s="32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X39" s="32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X40" s="32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X41" s="32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X42" s="32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X43" s="32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X44" s="32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X45" s="32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X46" s="32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X47" s="32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X48" s="32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X49" s="32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X50" s="32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X51" s="32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X52" s="32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X53" s="32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X54" s="32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X55" s="32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X56" s="32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X57" s="32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X58" s="32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X59" s="32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X60" s="32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X61" s="32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X62" s="32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X63" s="32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X64" s="32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X65" s="32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X66" s="32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X67" s="32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X68" s="32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X69" s="32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X70" s="32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X71" s="32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X72" s="32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X73" s="32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X74" s="32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X75" s="32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X76" s="32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X77" s="32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X78" s="32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X79" s="32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X80" s="32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X81" s="32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X82" s="32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X83" s="32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X84" s="32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X85" s="32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X86" s="32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X87" s="32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X88" s="32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X89" s="32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X90" s="32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X91" s="32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X92" s="32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X93" s="32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X94" s="32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X95" s="32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X96" s="32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X97" s="32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X98" s="32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X99" s="32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X100" s="32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X101" s="32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X102" s="32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X103" s="32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X104" s="32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X105" s="32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X106" s="32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X107" s="32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X108" s="32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X109" s="32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X110" s="32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X111" s="32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X112" s="32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X113" s="32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X114" s="32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X115" s="32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X116" s="32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X117" s="32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X118" s="32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X119" s="32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X120" s="32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X121" s="32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X122" s="32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X123" s="32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X124" s="32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X125" s="32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X126" s="32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X127" s="32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X128" s="32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X129" s="32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X130" s="32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X131" s="32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X132" s="32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X133" s="32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X134" s="32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X135" s="32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X136" s="32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X137" s="32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X138" s="32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X139" s="32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X140" s="32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X141" s="32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X142" s="32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X143" s="32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X144" s="32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X145" s="32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X146" s="32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X147" s="32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X148" s="32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X149" s="32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X150" s="32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X151" s="32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X152" s="32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X153" s="32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X154" s="32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X155" s="32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X156" s="32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X157" s="32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X158" s="32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X159" s="32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X160" s="32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X161" s="32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X162" s="32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X163" s="32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X164" s="32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X165" s="32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X166" s="32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X167" s="32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X168" s="32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X169" s="32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X170" s="32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X171" s="32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X172" s="32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X173" s="32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X174" s="32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X175" s="32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X176" s="32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X177" s="32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X178" s="32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X179" s="32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X180" s="32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X181" s="32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X182" s="32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X183" s="32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X184" s="32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X185" s="32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X186" s="32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X187" s="32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X188" s="32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X189" s="32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X190" s="32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X191" s="32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X192" s="32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X193" s="32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X194" s="32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X195" s="32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X196" s="32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X197" s="32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X198" s="32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X199" s="32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X200" s="32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X201" s="32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X202" s="32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X203" s="32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X204" s="32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X205" s="32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X206" s="32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X207" s="32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X208" s="32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X209" s="32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X210" s="32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X211" s="32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X212" s="32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X213" s="32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X214" s="32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X215" s="32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X216" s="329"/>
    </row>
    <row r="217" spans="3:24" ht="15.75" customHeight="1">
      <c r="X217" s="329"/>
    </row>
    <row r="218" spans="3:24" ht="15.75" customHeight="1">
      <c r="X218" s="329"/>
    </row>
    <row r="219" spans="3:24" ht="15.75" customHeight="1">
      <c r="X219" s="329"/>
    </row>
    <row r="220" spans="3:24" ht="15.75" customHeight="1">
      <c r="X220" s="329"/>
    </row>
    <row r="221" spans="3:24" ht="15.75" customHeight="1">
      <c r="X221" s="329"/>
    </row>
    <row r="222" spans="3:24" ht="15.75" customHeight="1">
      <c r="X222" s="329"/>
    </row>
    <row r="223" spans="3:24" ht="15.75" customHeight="1">
      <c r="X223" s="329"/>
    </row>
    <row r="224" spans="3:24" ht="15.75" customHeight="1">
      <c r="X224" s="329"/>
    </row>
    <row r="225" spans="24:24" ht="15.75" customHeight="1">
      <c r="X225" s="329"/>
    </row>
    <row r="226" spans="24:24" ht="15.75" customHeight="1">
      <c r="X226" s="329"/>
    </row>
    <row r="227" spans="24:24" ht="15.75" customHeight="1">
      <c r="X227" s="329"/>
    </row>
    <row r="228" spans="24:24" ht="15.75" customHeight="1">
      <c r="X228" s="329"/>
    </row>
    <row r="229" spans="24:24" ht="15.75" customHeight="1">
      <c r="X229" s="329"/>
    </row>
    <row r="230" spans="24:24" ht="15.75" customHeight="1">
      <c r="X230" s="329"/>
    </row>
    <row r="231" spans="24:24" ht="15.75" customHeight="1">
      <c r="X231" s="329"/>
    </row>
    <row r="232" spans="24:24" ht="15.75" customHeight="1">
      <c r="X232" s="329"/>
    </row>
    <row r="233" spans="24:24" ht="15.75" customHeight="1">
      <c r="X233" s="329"/>
    </row>
    <row r="234" spans="24:24" ht="15.75" customHeight="1">
      <c r="X234" s="329"/>
    </row>
    <row r="235" spans="24:24" ht="15.75" customHeight="1">
      <c r="X235" s="329"/>
    </row>
    <row r="236" spans="24:24" ht="15.75" customHeight="1">
      <c r="X236" s="329"/>
    </row>
    <row r="237" spans="24:24" ht="15.75" customHeight="1">
      <c r="X237" s="329"/>
    </row>
    <row r="238" spans="24:24" ht="15.75" customHeight="1">
      <c r="X238" s="329"/>
    </row>
    <row r="239" spans="24:24" ht="15.75" customHeight="1">
      <c r="X239" s="329"/>
    </row>
    <row r="240" spans="24:24" ht="15.75" customHeight="1">
      <c r="X240" s="329"/>
    </row>
    <row r="241" spans="24:24" ht="15.75" customHeight="1">
      <c r="X241" s="329"/>
    </row>
    <row r="242" spans="24:24" ht="15.75" customHeight="1">
      <c r="X242" s="329"/>
    </row>
    <row r="243" spans="24:24" ht="15.75" customHeight="1">
      <c r="X243" s="329"/>
    </row>
    <row r="244" spans="24:24" ht="15.75" customHeight="1">
      <c r="X244" s="329"/>
    </row>
    <row r="245" spans="24:24" ht="15.75" customHeight="1">
      <c r="X245" s="329"/>
    </row>
    <row r="246" spans="24:24" ht="15.75" customHeight="1">
      <c r="X246" s="329"/>
    </row>
    <row r="247" spans="24:24" ht="15.75" customHeight="1">
      <c r="X247" s="329"/>
    </row>
    <row r="248" spans="24:24" ht="15.75" customHeight="1">
      <c r="X248" s="329"/>
    </row>
    <row r="249" spans="24:24" ht="15.75" customHeight="1">
      <c r="X249" s="329"/>
    </row>
    <row r="250" spans="24:24" ht="15.75" customHeight="1">
      <c r="X250" s="329"/>
    </row>
    <row r="251" spans="24:24" ht="15.75" customHeight="1">
      <c r="X251" s="329"/>
    </row>
    <row r="252" spans="24:24" ht="15.75" customHeight="1">
      <c r="X252" s="329"/>
    </row>
    <row r="253" spans="24:24" ht="15.75" customHeight="1">
      <c r="X253" s="329"/>
    </row>
    <row r="254" spans="24:24" ht="15.75" customHeight="1">
      <c r="X254" s="329"/>
    </row>
    <row r="255" spans="24:24" ht="15.75" customHeight="1">
      <c r="X255" s="329"/>
    </row>
    <row r="256" spans="24:24" ht="15.75" customHeight="1">
      <c r="X256" s="329"/>
    </row>
    <row r="257" spans="24:24" ht="15.75" customHeight="1">
      <c r="X257" s="329"/>
    </row>
    <row r="258" spans="24:24" ht="15.75" customHeight="1">
      <c r="X258" s="329"/>
    </row>
    <row r="259" spans="24:24" ht="15.75" customHeight="1">
      <c r="X259" s="329"/>
    </row>
    <row r="260" spans="24:24" ht="15.75" customHeight="1">
      <c r="X260" s="329"/>
    </row>
    <row r="261" spans="24:24" ht="15.75" customHeight="1">
      <c r="X261" s="329"/>
    </row>
    <row r="262" spans="24:24" ht="15.75" customHeight="1">
      <c r="X262" s="329"/>
    </row>
    <row r="263" spans="24:24" ht="15.75" customHeight="1">
      <c r="X263" s="329"/>
    </row>
    <row r="264" spans="24:24" ht="15.75" customHeight="1">
      <c r="X264" s="329"/>
    </row>
    <row r="265" spans="24:24" ht="15.75" customHeight="1">
      <c r="X265" s="329"/>
    </row>
    <row r="266" spans="24:24" ht="15.75" customHeight="1">
      <c r="X266" s="329"/>
    </row>
    <row r="267" spans="24:24" ht="15.75" customHeight="1">
      <c r="X267" s="329"/>
    </row>
    <row r="268" spans="24:24" ht="15.75" customHeight="1">
      <c r="X268" s="329"/>
    </row>
    <row r="269" spans="24:24" ht="15.75" customHeight="1">
      <c r="X269" s="329"/>
    </row>
    <row r="270" spans="24:24" ht="15.75" customHeight="1">
      <c r="X270" s="329"/>
    </row>
    <row r="271" spans="24:24" ht="15.75" customHeight="1">
      <c r="X271" s="329"/>
    </row>
    <row r="272" spans="24:24" ht="15.75" customHeight="1">
      <c r="X272" s="329"/>
    </row>
    <row r="273" spans="24:24" ht="15.75" customHeight="1">
      <c r="X273" s="329"/>
    </row>
    <row r="274" spans="24:24" ht="15.75" customHeight="1">
      <c r="X274" s="329"/>
    </row>
    <row r="275" spans="24:24" ht="15.75" customHeight="1">
      <c r="X275" s="329"/>
    </row>
    <row r="276" spans="24:24" ht="15.75" customHeight="1">
      <c r="X276" s="329"/>
    </row>
    <row r="277" spans="24:24" ht="15.75" customHeight="1">
      <c r="X277" s="329"/>
    </row>
    <row r="278" spans="24:24" ht="15.75" customHeight="1">
      <c r="X278" s="329"/>
    </row>
    <row r="279" spans="24:24" ht="15.75" customHeight="1">
      <c r="X279" s="329"/>
    </row>
    <row r="280" spans="24:24" ht="15.75" customHeight="1">
      <c r="X280" s="329"/>
    </row>
    <row r="281" spans="24:24" ht="15.75" customHeight="1">
      <c r="X281" s="329"/>
    </row>
    <row r="282" spans="24:24" ht="15.75" customHeight="1">
      <c r="X282" s="329"/>
    </row>
    <row r="283" spans="24:24" ht="15.75" customHeight="1">
      <c r="X283" s="329"/>
    </row>
    <row r="284" spans="24:24" ht="15.75" customHeight="1">
      <c r="X284" s="329"/>
    </row>
    <row r="285" spans="24:24" ht="15.75" customHeight="1">
      <c r="X285" s="329"/>
    </row>
    <row r="286" spans="24:24" ht="15.75" customHeight="1">
      <c r="X286" s="329"/>
    </row>
    <row r="287" spans="24:24" ht="15.75" customHeight="1">
      <c r="X287" s="329"/>
    </row>
    <row r="288" spans="24:24" ht="15.75" customHeight="1">
      <c r="X288" s="329"/>
    </row>
    <row r="289" spans="24:24" ht="15.75" customHeight="1">
      <c r="X289" s="329"/>
    </row>
    <row r="290" spans="24:24" ht="15.75" customHeight="1">
      <c r="X290" s="329"/>
    </row>
    <row r="291" spans="24:24" ht="15.75" customHeight="1">
      <c r="X291" s="329"/>
    </row>
    <row r="292" spans="24:24" ht="15.75" customHeight="1">
      <c r="X292" s="329"/>
    </row>
    <row r="293" spans="24:24" ht="15.75" customHeight="1">
      <c r="X293" s="329"/>
    </row>
    <row r="294" spans="24:24" ht="15.75" customHeight="1">
      <c r="X294" s="329"/>
    </row>
    <row r="295" spans="24:24" ht="15.75" customHeight="1">
      <c r="X295" s="329"/>
    </row>
    <row r="296" spans="24:24" ht="15.75" customHeight="1">
      <c r="X296" s="329"/>
    </row>
    <row r="297" spans="24:24" ht="15.75" customHeight="1">
      <c r="X297" s="329"/>
    </row>
    <row r="298" spans="24:24" ht="15.75" customHeight="1">
      <c r="X298" s="329"/>
    </row>
    <row r="299" spans="24:24" ht="15.75" customHeight="1">
      <c r="X299" s="329"/>
    </row>
    <row r="300" spans="24:24" ht="15.75" customHeight="1">
      <c r="X300" s="329"/>
    </row>
    <row r="301" spans="24:24" ht="15.75" customHeight="1">
      <c r="X301" s="329"/>
    </row>
    <row r="302" spans="24:24" ht="15.75" customHeight="1">
      <c r="X302" s="329"/>
    </row>
    <row r="303" spans="24:24" ht="15.75" customHeight="1">
      <c r="X303" s="329"/>
    </row>
    <row r="304" spans="24:24" ht="15.75" customHeight="1">
      <c r="X304" s="329"/>
    </row>
    <row r="305" spans="24:24" ht="15.75" customHeight="1">
      <c r="X305" s="329"/>
    </row>
    <row r="306" spans="24:24" ht="15.75" customHeight="1">
      <c r="X306" s="329"/>
    </row>
    <row r="307" spans="24:24" ht="15.75" customHeight="1">
      <c r="X307" s="329"/>
    </row>
    <row r="308" spans="24:24" ht="15.75" customHeight="1">
      <c r="X308" s="329"/>
    </row>
    <row r="309" spans="24:24" ht="15.75" customHeight="1">
      <c r="X309" s="329"/>
    </row>
    <row r="310" spans="24:24" ht="15.75" customHeight="1">
      <c r="X310" s="329"/>
    </row>
    <row r="311" spans="24:24" ht="15.75" customHeight="1">
      <c r="X311" s="329"/>
    </row>
    <row r="312" spans="24:24" ht="15.75" customHeight="1">
      <c r="X312" s="329"/>
    </row>
    <row r="313" spans="24:24" ht="15.75" customHeight="1">
      <c r="X313" s="329"/>
    </row>
    <row r="314" spans="24:24" ht="15.75" customHeight="1">
      <c r="X314" s="329"/>
    </row>
    <row r="315" spans="24:24" ht="15.75" customHeight="1">
      <c r="X315" s="329"/>
    </row>
    <row r="316" spans="24:24" ht="15.75" customHeight="1">
      <c r="X316" s="329"/>
    </row>
    <row r="317" spans="24:24" ht="15.75" customHeight="1">
      <c r="X317" s="329"/>
    </row>
    <row r="318" spans="24:24" ht="15.75" customHeight="1">
      <c r="X318" s="329"/>
    </row>
    <row r="319" spans="24:24" ht="15.75" customHeight="1">
      <c r="X319" s="329"/>
    </row>
    <row r="320" spans="24:24" ht="15.75" customHeight="1">
      <c r="X320" s="329"/>
    </row>
    <row r="321" spans="24:24" ht="15.75" customHeight="1">
      <c r="X321" s="329"/>
    </row>
    <row r="322" spans="24:24" ht="15.75" customHeight="1">
      <c r="X322" s="329"/>
    </row>
    <row r="323" spans="24:24" ht="15.75" customHeight="1">
      <c r="X323" s="329"/>
    </row>
    <row r="324" spans="24:24" ht="15.75" customHeight="1">
      <c r="X324" s="329"/>
    </row>
    <row r="325" spans="24:24" ht="15.75" customHeight="1">
      <c r="X325" s="329"/>
    </row>
    <row r="326" spans="24:24" ht="15.75" customHeight="1">
      <c r="X326" s="329"/>
    </row>
    <row r="327" spans="24:24" ht="15.75" customHeight="1">
      <c r="X327" s="329"/>
    </row>
    <row r="328" spans="24:24" ht="15.75" customHeight="1">
      <c r="X328" s="329"/>
    </row>
    <row r="329" spans="24:24" ht="15.75" customHeight="1">
      <c r="X329" s="329"/>
    </row>
    <row r="330" spans="24:24" ht="15.75" customHeight="1">
      <c r="X330" s="329"/>
    </row>
    <row r="331" spans="24:24" ht="15.75" customHeight="1">
      <c r="X331" s="329"/>
    </row>
    <row r="332" spans="24:24" ht="15.75" customHeight="1">
      <c r="X332" s="329"/>
    </row>
    <row r="333" spans="24:24" ht="15.75" customHeight="1">
      <c r="X333" s="329"/>
    </row>
    <row r="334" spans="24:24" ht="15.75" customHeight="1">
      <c r="X334" s="329"/>
    </row>
    <row r="335" spans="24:24" ht="15.75" customHeight="1">
      <c r="X335" s="329"/>
    </row>
    <row r="336" spans="24:24" ht="15.75" customHeight="1">
      <c r="X336" s="329"/>
    </row>
    <row r="337" spans="24:24" ht="15.75" customHeight="1">
      <c r="X337" s="329"/>
    </row>
    <row r="338" spans="24:24" ht="15.75" customHeight="1">
      <c r="X338" s="329"/>
    </row>
    <row r="339" spans="24:24" ht="15.75" customHeight="1">
      <c r="X339" s="329"/>
    </row>
    <row r="340" spans="24:24" ht="15.75" customHeight="1">
      <c r="X340" s="329"/>
    </row>
    <row r="341" spans="24:24" ht="15.75" customHeight="1">
      <c r="X341" s="329"/>
    </row>
    <row r="342" spans="24:24" ht="15.75" customHeight="1">
      <c r="X342" s="329"/>
    </row>
    <row r="343" spans="24:24" ht="15.75" customHeight="1">
      <c r="X343" s="329"/>
    </row>
    <row r="344" spans="24:24" ht="15.75" customHeight="1">
      <c r="X344" s="329"/>
    </row>
    <row r="345" spans="24:24" ht="15.75" customHeight="1">
      <c r="X345" s="329"/>
    </row>
    <row r="346" spans="24:24" ht="15.75" customHeight="1">
      <c r="X346" s="329"/>
    </row>
    <row r="347" spans="24:24" ht="15.75" customHeight="1">
      <c r="X347" s="329"/>
    </row>
    <row r="348" spans="24:24" ht="15.75" customHeight="1">
      <c r="X348" s="329"/>
    </row>
    <row r="349" spans="24:24" ht="15.75" customHeight="1">
      <c r="X349" s="329"/>
    </row>
    <row r="350" spans="24:24" ht="15.75" customHeight="1">
      <c r="X350" s="329"/>
    </row>
    <row r="351" spans="24:24" ht="15.75" customHeight="1">
      <c r="X351" s="329"/>
    </row>
    <row r="352" spans="24:24" ht="15.75" customHeight="1">
      <c r="X352" s="329"/>
    </row>
    <row r="353" spans="24:24" ht="15.75" customHeight="1">
      <c r="X353" s="329"/>
    </row>
    <row r="354" spans="24:24" ht="15.75" customHeight="1">
      <c r="X354" s="329"/>
    </row>
    <row r="355" spans="24:24" ht="15.75" customHeight="1">
      <c r="X355" s="329"/>
    </row>
    <row r="356" spans="24:24" ht="15.75" customHeight="1">
      <c r="X356" s="329"/>
    </row>
    <row r="357" spans="24:24" ht="15.75" customHeight="1">
      <c r="X357" s="329"/>
    </row>
    <row r="358" spans="24:24" ht="15.75" customHeight="1">
      <c r="X358" s="329"/>
    </row>
    <row r="359" spans="24:24" ht="15.75" customHeight="1">
      <c r="X359" s="329"/>
    </row>
    <row r="360" spans="24:24" ht="15.75" customHeight="1">
      <c r="X360" s="329"/>
    </row>
    <row r="361" spans="24:24" ht="15.75" customHeight="1">
      <c r="X361" s="329"/>
    </row>
    <row r="362" spans="24:24" ht="15.75" customHeight="1">
      <c r="X362" s="329"/>
    </row>
    <row r="363" spans="24:24" ht="15.75" customHeight="1">
      <c r="X363" s="329"/>
    </row>
    <row r="364" spans="24:24" ht="15.75" customHeight="1">
      <c r="X364" s="329"/>
    </row>
    <row r="365" spans="24:24" ht="15.75" customHeight="1">
      <c r="X365" s="329"/>
    </row>
    <row r="366" spans="24:24" ht="15.75" customHeight="1">
      <c r="X366" s="329"/>
    </row>
    <row r="367" spans="24:24" ht="15.75" customHeight="1">
      <c r="X367" s="329"/>
    </row>
    <row r="368" spans="24:24" ht="15.75" customHeight="1">
      <c r="X368" s="329"/>
    </row>
    <row r="369" spans="24:24" ht="15.75" customHeight="1">
      <c r="X369" s="329"/>
    </row>
    <row r="370" spans="24:24" ht="15.75" customHeight="1">
      <c r="X370" s="329"/>
    </row>
    <row r="371" spans="24:24" ht="15.75" customHeight="1">
      <c r="X371" s="329"/>
    </row>
    <row r="372" spans="24:24" ht="15.75" customHeight="1">
      <c r="X372" s="329"/>
    </row>
    <row r="373" spans="24:24" ht="15.75" customHeight="1">
      <c r="X373" s="329"/>
    </row>
    <row r="374" spans="24:24" ht="15.75" customHeight="1">
      <c r="X374" s="329"/>
    </row>
    <row r="375" spans="24:24" ht="15.75" customHeight="1">
      <c r="X375" s="329"/>
    </row>
    <row r="376" spans="24:24" ht="15.75" customHeight="1">
      <c r="X376" s="329"/>
    </row>
    <row r="377" spans="24:24" ht="15.75" customHeight="1">
      <c r="X377" s="329"/>
    </row>
    <row r="378" spans="24:24" ht="15.75" customHeight="1">
      <c r="X378" s="329"/>
    </row>
    <row r="379" spans="24:24" ht="15.75" customHeight="1">
      <c r="X379" s="329"/>
    </row>
    <row r="380" spans="24:24" ht="15.75" customHeight="1">
      <c r="X380" s="329"/>
    </row>
    <row r="381" spans="24:24" ht="15.75" customHeight="1">
      <c r="X381" s="329"/>
    </row>
    <row r="382" spans="24:24" ht="15.75" customHeight="1">
      <c r="X382" s="329"/>
    </row>
    <row r="383" spans="24:24" ht="15.75" customHeight="1">
      <c r="X383" s="329"/>
    </row>
    <row r="384" spans="24:24" ht="15.75" customHeight="1">
      <c r="X384" s="329"/>
    </row>
    <row r="385" spans="24:24" ht="15.75" customHeight="1">
      <c r="X385" s="329"/>
    </row>
    <row r="386" spans="24:24" ht="15.75" customHeight="1">
      <c r="X386" s="329"/>
    </row>
    <row r="387" spans="24:24" ht="15.75" customHeight="1">
      <c r="X387" s="329"/>
    </row>
    <row r="388" spans="24:24" ht="15.75" customHeight="1">
      <c r="X388" s="329"/>
    </row>
    <row r="389" spans="24:24" ht="15.75" customHeight="1">
      <c r="X389" s="329"/>
    </row>
    <row r="390" spans="24:24" ht="15.75" customHeight="1">
      <c r="X390" s="329"/>
    </row>
    <row r="391" spans="24:24" ht="15.75" customHeight="1">
      <c r="X391" s="329"/>
    </row>
    <row r="392" spans="24:24" ht="15.75" customHeight="1">
      <c r="X392" s="329"/>
    </row>
    <row r="393" spans="24:24" ht="15.75" customHeight="1">
      <c r="X393" s="329"/>
    </row>
    <row r="394" spans="24:24" ht="15.75" customHeight="1">
      <c r="X394" s="329"/>
    </row>
    <row r="395" spans="24:24" ht="15.75" customHeight="1">
      <c r="X395" s="329"/>
    </row>
    <row r="396" spans="24:24" ht="15.75" customHeight="1">
      <c r="X396" s="329"/>
    </row>
    <row r="397" spans="24:24" ht="15.75" customHeight="1">
      <c r="X397" s="329"/>
    </row>
    <row r="398" spans="24:24" ht="15.75" customHeight="1">
      <c r="X398" s="329"/>
    </row>
    <row r="399" spans="24:24" ht="15.75" customHeight="1">
      <c r="X399" s="329"/>
    </row>
    <row r="400" spans="24:24" ht="15.75" customHeight="1">
      <c r="X400" s="329"/>
    </row>
    <row r="401" spans="24:24" ht="15.75" customHeight="1">
      <c r="X401" s="329"/>
    </row>
    <row r="402" spans="24:24" ht="15.75" customHeight="1">
      <c r="X402" s="329"/>
    </row>
    <row r="403" spans="24:24" ht="15.75" customHeight="1">
      <c r="X403" s="329"/>
    </row>
    <row r="404" spans="24:24" ht="15.75" customHeight="1">
      <c r="X404" s="329"/>
    </row>
    <row r="405" spans="24:24" ht="15.75" customHeight="1">
      <c r="X405" s="329"/>
    </row>
    <row r="406" spans="24:24" ht="15.75" customHeight="1">
      <c r="X406" s="329"/>
    </row>
    <row r="407" spans="24:24" ht="15.75" customHeight="1">
      <c r="X407" s="329"/>
    </row>
    <row r="408" spans="24:24" ht="15.75" customHeight="1">
      <c r="X408" s="329"/>
    </row>
    <row r="409" spans="24:24" ht="15.75" customHeight="1">
      <c r="X409" s="329"/>
    </row>
    <row r="410" spans="24:24" ht="15.75" customHeight="1">
      <c r="X410" s="329"/>
    </row>
    <row r="411" spans="24:24" ht="15.75" customHeight="1">
      <c r="X411" s="329"/>
    </row>
    <row r="412" spans="24:24" ht="15.75" customHeight="1">
      <c r="X412" s="329"/>
    </row>
    <row r="413" spans="24:24" ht="15.75" customHeight="1">
      <c r="X413" s="329"/>
    </row>
    <row r="414" spans="24:24" ht="15.75" customHeight="1">
      <c r="X414" s="329"/>
    </row>
    <row r="415" spans="24:24" ht="15.75" customHeight="1">
      <c r="X415" s="329"/>
    </row>
    <row r="416" spans="24:24" ht="15.75" customHeight="1">
      <c r="X416" s="329"/>
    </row>
    <row r="417" spans="24:24" ht="15.75" customHeight="1">
      <c r="X417" s="329"/>
    </row>
    <row r="418" spans="24:24" ht="15.75" customHeight="1">
      <c r="X418" s="329"/>
    </row>
    <row r="419" spans="24:24" ht="15.75" customHeight="1">
      <c r="X419" s="329"/>
    </row>
    <row r="420" spans="24:24" ht="15.75" customHeight="1">
      <c r="X420" s="329"/>
    </row>
    <row r="421" spans="24:24" ht="15.75" customHeight="1">
      <c r="X421" s="329"/>
    </row>
    <row r="422" spans="24:24" ht="15.75" customHeight="1">
      <c r="X422" s="329"/>
    </row>
    <row r="423" spans="24:24" ht="15.75" customHeight="1">
      <c r="X423" s="329"/>
    </row>
    <row r="424" spans="24:24" ht="15.75" customHeight="1">
      <c r="X424" s="329"/>
    </row>
    <row r="425" spans="24:24" ht="15.75" customHeight="1">
      <c r="X425" s="329"/>
    </row>
    <row r="426" spans="24:24" ht="15.75" customHeight="1">
      <c r="X426" s="329"/>
    </row>
    <row r="427" spans="24:24" ht="15.75" customHeight="1">
      <c r="X427" s="329"/>
    </row>
    <row r="428" spans="24:24" ht="15.75" customHeight="1">
      <c r="X428" s="329"/>
    </row>
    <row r="429" spans="24:24" ht="15.75" customHeight="1">
      <c r="X429" s="329"/>
    </row>
    <row r="430" spans="24:24" ht="15.75" customHeight="1">
      <c r="X430" s="329"/>
    </row>
    <row r="431" spans="24:24" ht="15.75" customHeight="1">
      <c r="X431" s="329"/>
    </row>
    <row r="432" spans="24:24" ht="15.75" customHeight="1">
      <c r="X432" s="329"/>
    </row>
    <row r="433" spans="24:24" ht="15.75" customHeight="1">
      <c r="X433" s="329"/>
    </row>
    <row r="434" spans="24:24" ht="15.75" customHeight="1">
      <c r="X434" s="329"/>
    </row>
    <row r="435" spans="24:24" ht="15.75" customHeight="1">
      <c r="X435" s="329"/>
    </row>
    <row r="436" spans="24:24" ht="15.75" customHeight="1">
      <c r="X436" s="329"/>
    </row>
    <row r="437" spans="24:24" ht="15.75" customHeight="1">
      <c r="X437" s="329"/>
    </row>
    <row r="438" spans="24:24" ht="15.75" customHeight="1">
      <c r="X438" s="329"/>
    </row>
    <row r="439" spans="24:24" ht="15.75" customHeight="1">
      <c r="X439" s="329"/>
    </row>
    <row r="440" spans="24:24" ht="15.75" customHeight="1">
      <c r="X440" s="329"/>
    </row>
    <row r="441" spans="24:24" ht="15.75" customHeight="1">
      <c r="X441" s="329"/>
    </row>
    <row r="442" spans="24:24" ht="15.75" customHeight="1">
      <c r="X442" s="329"/>
    </row>
    <row r="443" spans="24:24" ht="15.75" customHeight="1">
      <c r="X443" s="329"/>
    </row>
    <row r="444" spans="24:24" ht="15.75" customHeight="1">
      <c r="X444" s="329"/>
    </row>
    <row r="445" spans="24:24" ht="15.75" customHeight="1">
      <c r="X445" s="329"/>
    </row>
    <row r="446" spans="24:24" ht="15.75" customHeight="1">
      <c r="X446" s="329"/>
    </row>
    <row r="447" spans="24:24" ht="15.75" customHeight="1">
      <c r="X447" s="329"/>
    </row>
    <row r="448" spans="24:24" ht="15.75" customHeight="1">
      <c r="X448" s="329"/>
    </row>
    <row r="449" spans="24:24" ht="15.75" customHeight="1">
      <c r="X449" s="329"/>
    </row>
    <row r="450" spans="24:24" ht="15.75" customHeight="1">
      <c r="X450" s="329"/>
    </row>
    <row r="451" spans="24:24" ht="15.75" customHeight="1">
      <c r="X451" s="329"/>
    </row>
    <row r="452" spans="24:24" ht="15.75" customHeight="1">
      <c r="X452" s="329"/>
    </row>
    <row r="453" spans="24:24" ht="15.75" customHeight="1">
      <c r="X453" s="329"/>
    </row>
    <row r="454" spans="24:24" ht="15.75" customHeight="1">
      <c r="X454" s="329"/>
    </row>
    <row r="455" spans="24:24" ht="15.75" customHeight="1">
      <c r="X455" s="329"/>
    </row>
    <row r="456" spans="24:24" ht="15.75" customHeight="1">
      <c r="X456" s="329"/>
    </row>
    <row r="457" spans="24:24" ht="15.75" customHeight="1">
      <c r="X457" s="329"/>
    </row>
    <row r="458" spans="24:24" ht="15.75" customHeight="1">
      <c r="X458" s="329"/>
    </row>
    <row r="459" spans="24:24" ht="15.75" customHeight="1">
      <c r="X459" s="329"/>
    </row>
    <row r="460" spans="24:24" ht="15.75" customHeight="1">
      <c r="X460" s="329"/>
    </row>
    <row r="461" spans="24:24" ht="15.75" customHeight="1">
      <c r="X461" s="329"/>
    </row>
    <row r="462" spans="24:24" ht="15.75" customHeight="1">
      <c r="X462" s="329"/>
    </row>
    <row r="463" spans="24:24" ht="15.75" customHeight="1">
      <c r="X463" s="329"/>
    </row>
    <row r="464" spans="24:24" ht="15.75" customHeight="1">
      <c r="X464" s="329"/>
    </row>
    <row r="465" spans="24:24" ht="15.75" customHeight="1">
      <c r="X465" s="329"/>
    </row>
    <row r="466" spans="24:24" ht="15.75" customHeight="1">
      <c r="X466" s="329"/>
    </row>
    <row r="467" spans="24:24" ht="15.75" customHeight="1">
      <c r="X467" s="329"/>
    </row>
    <row r="468" spans="24:24" ht="15.75" customHeight="1">
      <c r="X468" s="329"/>
    </row>
    <row r="469" spans="24:24" ht="15.75" customHeight="1">
      <c r="X469" s="329"/>
    </row>
    <row r="470" spans="24:24" ht="15.75" customHeight="1">
      <c r="X470" s="329"/>
    </row>
    <row r="471" spans="24:24" ht="15.75" customHeight="1">
      <c r="X471" s="329"/>
    </row>
    <row r="472" spans="24:24" ht="15.75" customHeight="1">
      <c r="X472" s="329"/>
    </row>
    <row r="473" spans="24:24" ht="15.75" customHeight="1">
      <c r="X473" s="329"/>
    </row>
    <row r="474" spans="24:24" ht="15.75" customHeight="1">
      <c r="X474" s="329"/>
    </row>
    <row r="475" spans="24:24" ht="15.75" customHeight="1">
      <c r="X475" s="329"/>
    </row>
    <row r="476" spans="24:24" ht="15.75" customHeight="1">
      <c r="X476" s="329"/>
    </row>
    <row r="477" spans="24:24" ht="15.75" customHeight="1">
      <c r="X477" s="329"/>
    </row>
    <row r="478" spans="24:24" ht="15.75" customHeight="1">
      <c r="X478" s="329"/>
    </row>
    <row r="479" spans="24:24" ht="15.75" customHeight="1">
      <c r="X479" s="329"/>
    </row>
    <row r="480" spans="24:24" ht="15.75" customHeight="1">
      <c r="X480" s="329"/>
    </row>
    <row r="481" spans="24:24" ht="15.75" customHeight="1">
      <c r="X481" s="329"/>
    </row>
    <row r="482" spans="24:24" ht="15.75" customHeight="1">
      <c r="X482" s="329"/>
    </row>
    <row r="483" spans="24:24" ht="15.75" customHeight="1">
      <c r="X483" s="329"/>
    </row>
    <row r="484" spans="24:24" ht="15.75" customHeight="1">
      <c r="X484" s="329"/>
    </row>
    <row r="485" spans="24:24" ht="15.75" customHeight="1">
      <c r="X485" s="329"/>
    </row>
    <row r="486" spans="24:24" ht="15.75" customHeight="1">
      <c r="X486" s="329"/>
    </row>
    <row r="487" spans="24:24" ht="15.75" customHeight="1">
      <c r="X487" s="329"/>
    </row>
    <row r="488" spans="24:24" ht="15.75" customHeight="1">
      <c r="X488" s="329"/>
    </row>
    <row r="489" spans="24:24" ht="15.75" customHeight="1">
      <c r="X489" s="329"/>
    </row>
    <row r="490" spans="24:24" ht="15.75" customHeight="1">
      <c r="X490" s="329"/>
    </row>
    <row r="491" spans="24:24" ht="15.75" customHeight="1">
      <c r="X491" s="329"/>
    </row>
    <row r="492" spans="24:24" ht="15.75" customHeight="1">
      <c r="X492" s="329"/>
    </row>
    <row r="493" spans="24:24" ht="15.75" customHeight="1">
      <c r="X493" s="329"/>
    </row>
    <row r="494" spans="24:24" ht="15.75" customHeight="1">
      <c r="X494" s="329"/>
    </row>
    <row r="495" spans="24:24" ht="15.75" customHeight="1">
      <c r="X495" s="329"/>
    </row>
    <row r="496" spans="24:24" ht="15.75" customHeight="1">
      <c r="X496" s="329"/>
    </row>
    <row r="497" spans="24:24" ht="15.75" customHeight="1">
      <c r="X497" s="329"/>
    </row>
    <row r="498" spans="24:24" ht="15.75" customHeight="1">
      <c r="X498" s="329"/>
    </row>
    <row r="499" spans="24:24" ht="15.75" customHeight="1">
      <c r="X499" s="329"/>
    </row>
    <row r="500" spans="24:24" ht="15.75" customHeight="1">
      <c r="X500" s="329"/>
    </row>
    <row r="501" spans="24:24" ht="15.75" customHeight="1">
      <c r="X501" s="329"/>
    </row>
    <row r="502" spans="24:24" ht="15.75" customHeight="1">
      <c r="X502" s="329"/>
    </row>
    <row r="503" spans="24:24" ht="15.75" customHeight="1">
      <c r="X503" s="329"/>
    </row>
    <row r="504" spans="24:24" ht="15.75" customHeight="1">
      <c r="X504" s="329"/>
    </row>
    <row r="505" spans="24:24" ht="15.75" customHeight="1">
      <c r="X505" s="329"/>
    </row>
    <row r="506" spans="24:24" ht="15.75" customHeight="1">
      <c r="X506" s="329"/>
    </row>
    <row r="507" spans="24:24" ht="15.75" customHeight="1">
      <c r="X507" s="329"/>
    </row>
    <row r="508" spans="24:24" ht="15.75" customHeight="1">
      <c r="X508" s="329"/>
    </row>
    <row r="509" spans="24:24" ht="15.75" customHeight="1">
      <c r="X509" s="329"/>
    </row>
    <row r="510" spans="24:24" ht="15.75" customHeight="1">
      <c r="X510" s="329"/>
    </row>
    <row r="511" spans="24:24" ht="15.75" customHeight="1">
      <c r="X511" s="329"/>
    </row>
    <row r="512" spans="24:24" ht="15.75" customHeight="1">
      <c r="X512" s="329"/>
    </row>
    <row r="513" spans="24:24" ht="15.75" customHeight="1">
      <c r="X513" s="329"/>
    </row>
    <row r="514" spans="24:24" ht="15.75" customHeight="1">
      <c r="X514" s="329"/>
    </row>
    <row r="515" spans="24:24" ht="15.75" customHeight="1">
      <c r="X515" s="329"/>
    </row>
    <row r="516" spans="24:24" ht="15.75" customHeight="1">
      <c r="X516" s="329"/>
    </row>
    <row r="517" spans="24:24" ht="15.75" customHeight="1">
      <c r="X517" s="329"/>
    </row>
    <row r="518" spans="24:24" ht="15.75" customHeight="1">
      <c r="X518" s="329"/>
    </row>
    <row r="519" spans="24:24" ht="15.75" customHeight="1">
      <c r="X519" s="329"/>
    </row>
    <row r="520" spans="24:24" ht="15.75" customHeight="1">
      <c r="X520" s="329"/>
    </row>
    <row r="521" spans="24:24" ht="15.75" customHeight="1">
      <c r="X521" s="329"/>
    </row>
    <row r="522" spans="24:24" ht="15.75" customHeight="1">
      <c r="X522" s="329"/>
    </row>
    <row r="523" spans="24:24" ht="15.75" customHeight="1">
      <c r="X523" s="329"/>
    </row>
    <row r="524" spans="24:24" ht="15.75" customHeight="1">
      <c r="X524" s="329"/>
    </row>
    <row r="525" spans="24:24" ht="15.75" customHeight="1">
      <c r="X525" s="329"/>
    </row>
    <row r="526" spans="24:24" ht="15.75" customHeight="1">
      <c r="X526" s="329"/>
    </row>
    <row r="527" spans="24:24" ht="15.75" customHeight="1">
      <c r="X527" s="329"/>
    </row>
    <row r="528" spans="24:24" ht="15.75" customHeight="1">
      <c r="X528" s="329"/>
    </row>
    <row r="529" spans="24:24" ht="15.75" customHeight="1">
      <c r="X529" s="329"/>
    </row>
    <row r="530" spans="24:24" ht="15.75" customHeight="1">
      <c r="X530" s="329"/>
    </row>
    <row r="531" spans="24:24" ht="15.75" customHeight="1">
      <c r="X531" s="329"/>
    </row>
    <row r="532" spans="24:24" ht="15.75" customHeight="1">
      <c r="X532" s="329"/>
    </row>
    <row r="533" spans="24:24" ht="15.75" customHeight="1">
      <c r="X533" s="329"/>
    </row>
    <row r="534" spans="24:24" ht="15.75" customHeight="1">
      <c r="X534" s="329"/>
    </row>
    <row r="535" spans="24:24" ht="15.75" customHeight="1">
      <c r="X535" s="329"/>
    </row>
    <row r="536" spans="24:24" ht="15.75" customHeight="1">
      <c r="X536" s="329"/>
    </row>
    <row r="537" spans="24:24" ht="15.75" customHeight="1">
      <c r="X537" s="329"/>
    </row>
    <row r="538" spans="24:24" ht="15.75" customHeight="1">
      <c r="X538" s="329"/>
    </row>
    <row r="539" spans="24:24" ht="15.75" customHeight="1">
      <c r="X539" s="329"/>
    </row>
    <row r="540" spans="24:24" ht="15.75" customHeight="1">
      <c r="X540" s="329"/>
    </row>
    <row r="541" spans="24:24" ht="15.75" customHeight="1">
      <c r="X541" s="329"/>
    </row>
    <row r="542" spans="24:24" ht="15.75" customHeight="1">
      <c r="X542" s="329"/>
    </row>
    <row r="543" spans="24:24" ht="15.75" customHeight="1">
      <c r="X543" s="329"/>
    </row>
    <row r="544" spans="24:24" ht="15.75" customHeight="1">
      <c r="X544" s="329"/>
    </row>
    <row r="545" spans="24:24" ht="15.75" customHeight="1">
      <c r="X545" s="329"/>
    </row>
    <row r="546" spans="24:24" ht="15.75" customHeight="1">
      <c r="X546" s="329"/>
    </row>
    <row r="547" spans="24:24" ht="15.75" customHeight="1">
      <c r="X547" s="329"/>
    </row>
    <row r="548" spans="24:24" ht="15.75" customHeight="1">
      <c r="X548" s="329"/>
    </row>
    <row r="549" spans="24:24" ht="15.75" customHeight="1">
      <c r="X549" s="329"/>
    </row>
    <row r="550" spans="24:24" ht="15.75" customHeight="1">
      <c r="X550" s="329"/>
    </row>
    <row r="551" spans="24:24" ht="15.75" customHeight="1">
      <c r="X551" s="329"/>
    </row>
    <row r="552" spans="24:24" ht="15.75" customHeight="1">
      <c r="X552" s="329"/>
    </row>
    <row r="553" spans="24:24" ht="15.75" customHeight="1">
      <c r="X553" s="329"/>
    </row>
    <row r="554" spans="24:24" ht="15.75" customHeight="1">
      <c r="X554" s="329"/>
    </row>
    <row r="555" spans="24:24" ht="15.75" customHeight="1">
      <c r="X555" s="329"/>
    </row>
    <row r="556" spans="24:24" ht="15.75" customHeight="1">
      <c r="X556" s="329"/>
    </row>
    <row r="557" spans="24:24" ht="15.75" customHeight="1">
      <c r="X557" s="329"/>
    </row>
    <row r="558" spans="24:24" ht="15.75" customHeight="1">
      <c r="X558" s="329"/>
    </row>
    <row r="559" spans="24:24" ht="15.75" customHeight="1">
      <c r="X559" s="329"/>
    </row>
    <row r="560" spans="24:24" ht="15.75" customHeight="1">
      <c r="X560" s="329"/>
    </row>
    <row r="561" spans="24:24" ht="15.75" customHeight="1">
      <c r="X561" s="329"/>
    </row>
    <row r="562" spans="24:24" ht="15.75" customHeight="1">
      <c r="X562" s="329"/>
    </row>
    <row r="563" spans="24:24" ht="15.75" customHeight="1">
      <c r="X563" s="329"/>
    </row>
    <row r="564" spans="24:24" ht="15.75" customHeight="1">
      <c r="X564" s="329"/>
    </row>
    <row r="565" spans="24:24" ht="15.75" customHeight="1">
      <c r="X565" s="329"/>
    </row>
    <row r="566" spans="24:24" ht="15.75" customHeight="1">
      <c r="X566" s="329"/>
    </row>
    <row r="567" spans="24:24" ht="15.75" customHeight="1">
      <c r="X567" s="329"/>
    </row>
    <row r="568" spans="24:24" ht="15.75" customHeight="1">
      <c r="X568" s="329"/>
    </row>
    <row r="569" spans="24:24" ht="15.75" customHeight="1">
      <c r="X569" s="329"/>
    </row>
    <row r="570" spans="24:24" ht="15.75" customHeight="1">
      <c r="X570" s="329"/>
    </row>
    <row r="571" spans="24:24" ht="15.75" customHeight="1">
      <c r="X571" s="329"/>
    </row>
    <row r="572" spans="24:24" ht="15.75" customHeight="1">
      <c r="X572" s="329"/>
    </row>
    <row r="573" spans="24:24" ht="15.75" customHeight="1">
      <c r="X573" s="329"/>
    </row>
    <row r="574" spans="24:24" ht="15.75" customHeight="1">
      <c r="X574" s="329"/>
    </row>
    <row r="575" spans="24:24" ht="15.75" customHeight="1">
      <c r="X575" s="329"/>
    </row>
    <row r="576" spans="24:24" ht="15.75" customHeight="1">
      <c r="X576" s="329"/>
    </row>
    <row r="577" spans="24:24" ht="15.75" customHeight="1">
      <c r="X577" s="329"/>
    </row>
    <row r="578" spans="24:24" ht="15.75" customHeight="1">
      <c r="X578" s="329"/>
    </row>
    <row r="579" spans="24:24" ht="15.75" customHeight="1">
      <c r="X579" s="329"/>
    </row>
    <row r="580" spans="24:24" ht="15.75" customHeight="1">
      <c r="X580" s="329"/>
    </row>
    <row r="581" spans="24:24" ht="15.75" customHeight="1">
      <c r="X581" s="329"/>
    </row>
    <row r="582" spans="24:24" ht="15.75" customHeight="1">
      <c r="X582" s="329"/>
    </row>
    <row r="583" spans="24:24" ht="15.75" customHeight="1">
      <c r="X583" s="329"/>
    </row>
    <row r="584" spans="24:24" ht="15.75" customHeight="1">
      <c r="X584" s="329"/>
    </row>
    <row r="585" spans="24:24" ht="15.75" customHeight="1">
      <c r="X585" s="329"/>
    </row>
    <row r="586" spans="24:24" ht="15.75" customHeight="1">
      <c r="X586" s="329"/>
    </row>
    <row r="587" spans="24:24" ht="15.75" customHeight="1">
      <c r="X587" s="329"/>
    </row>
    <row r="588" spans="24:24" ht="15.75" customHeight="1">
      <c r="X588" s="329"/>
    </row>
    <row r="589" spans="24:24" ht="15.75" customHeight="1">
      <c r="X589" s="329"/>
    </row>
    <row r="590" spans="24:24" ht="15.75" customHeight="1">
      <c r="X590" s="329"/>
    </row>
    <row r="591" spans="24:24" ht="15.75" customHeight="1">
      <c r="X591" s="329"/>
    </row>
    <row r="592" spans="24:24" ht="15.75" customHeight="1">
      <c r="X592" s="329"/>
    </row>
    <row r="593" spans="24:24" ht="15.75" customHeight="1">
      <c r="X593" s="329"/>
    </row>
    <row r="594" spans="24:24" ht="15.75" customHeight="1">
      <c r="X594" s="329"/>
    </row>
    <row r="595" spans="24:24" ht="15.75" customHeight="1">
      <c r="X595" s="329"/>
    </row>
    <row r="596" spans="24:24" ht="15.75" customHeight="1">
      <c r="X596" s="329"/>
    </row>
    <row r="597" spans="24:24" ht="15.75" customHeight="1">
      <c r="X597" s="329"/>
    </row>
    <row r="598" spans="24:24" ht="15.75" customHeight="1">
      <c r="X598" s="329"/>
    </row>
    <row r="599" spans="24:24" ht="15.75" customHeight="1">
      <c r="X599" s="329"/>
    </row>
    <row r="600" spans="24:24" ht="15.75" customHeight="1">
      <c r="X600" s="329"/>
    </row>
    <row r="601" spans="24:24" ht="15.75" customHeight="1">
      <c r="X601" s="329"/>
    </row>
    <row r="602" spans="24:24" ht="15.75" customHeight="1">
      <c r="X602" s="329"/>
    </row>
    <row r="603" spans="24:24" ht="15.75" customHeight="1">
      <c r="X603" s="329"/>
    </row>
    <row r="604" spans="24:24" ht="15.75" customHeight="1">
      <c r="X604" s="329"/>
    </row>
    <row r="605" spans="24:24" ht="15.75" customHeight="1">
      <c r="X605" s="329"/>
    </row>
    <row r="606" spans="24:24" ht="15.75" customHeight="1">
      <c r="X606" s="329"/>
    </row>
    <row r="607" spans="24:24" ht="15.75" customHeight="1">
      <c r="X607" s="329"/>
    </row>
    <row r="608" spans="24:24" ht="15.75" customHeight="1">
      <c r="X608" s="329"/>
    </row>
    <row r="609" spans="24:24" ht="15.75" customHeight="1">
      <c r="X609" s="329"/>
    </row>
    <row r="610" spans="24:24" ht="15.75" customHeight="1">
      <c r="X610" s="329"/>
    </row>
    <row r="611" spans="24:24" ht="15.75" customHeight="1">
      <c r="X611" s="329"/>
    </row>
    <row r="612" spans="24:24" ht="15.75" customHeight="1">
      <c r="X612" s="329"/>
    </row>
    <row r="613" spans="24:24" ht="15.75" customHeight="1">
      <c r="X613" s="329"/>
    </row>
    <row r="614" spans="24:24" ht="15.75" customHeight="1">
      <c r="X614" s="329"/>
    </row>
    <row r="615" spans="24:24" ht="15.75" customHeight="1">
      <c r="X615" s="329"/>
    </row>
    <row r="616" spans="24:24" ht="15.75" customHeight="1">
      <c r="X616" s="329"/>
    </row>
    <row r="617" spans="24:24" ht="15.75" customHeight="1">
      <c r="X617" s="329"/>
    </row>
    <row r="618" spans="24:24" ht="15.75" customHeight="1">
      <c r="X618" s="329"/>
    </row>
    <row r="619" spans="24:24" ht="15.75" customHeight="1">
      <c r="X619" s="329"/>
    </row>
    <row r="620" spans="24:24" ht="15.75" customHeight="1">
      <c r="X620" s="329"/>
    </row>
    <row r="621" spans="24:24" ht="15.75" customHeight="1">
      <c r="X621" s="329"/>
    </row>
    <row r="622" spans="24:24" ht="15.75" customHeight="1">
      <c r="X622" s="329"/>
    </row>
    <row r="623" spans="24:24" ht="15.75" customHeight="1">
      <c r="X623" s="329"/>
    </row>
    <row r="624" spans="24:24" ht="15.75" customHeight="1">
      <c r="X624" s="329"/>
    </row>
    <row r="625" spans="24:24" ht="15.75" customHeight="1">
      <c r="X625" s="329"/>
    </row>
    <row r="626" spans="24:24" ht="15.75" customHeight="1">
      <c r="X626" s="329"/>
    </row>
    <row r="627" spans="24:24" ht="15.75" customHeight="1">
      <c r="X627" s="329"/>
    </row>
    <row r="628" spans="24:24" ht="15.75" customHeight="1">
      <c r="X628" s="329"/>
    </row>
    <row r="629" spans="24:24" ht="15.75" customHeight="1">
      <c r="X629" s="329"/>
    </row>
    <row r="630" spans="24:24" ht="15.75" customHeight="1">
      <c r="X630" s="329"/>
    </row>
    <row r="631" spans="24:24" ht="15.75" customHeight="1">
      <c r="X631" s="329"/>
    </row>
    <row r="632" spans="24:24" ht="15.75" customHeight="1">
      <c r="X632" s="329"/>
    </row>
    <row r="633" spans="24:24" ht="15.75" customHeight="1">
      <c r="X633" s="329"/>
    </row>
    <row r="634" spans="24:24" ht="15.75" customHeight="1">
      <c r="X634" s="329"/>
    </row>
    <row r="635" spans="24:24" ht="15.75" customHeight="1">
      <c r="X635" s="329"/>
    </row>
    <row r="636" spans="24:24" ht="15.75" customHeight="1">
      <c r="X636" s="329"/>
    </row>
    <row r="637" spans="24:24" ht="15.75" customHeight="1">
      <c r="X637" s="329"/>
    </row>
    <row r="638" spans="24:24" ht="15.75" customHeight="1">
      <c r="X638" s="329"/>
    </row>
    <row r="639" spans="24:24" ht="15.75" customHeight="1">
      <c r="X639" s="329"/>
    </row>
    <row r="640" spans="24:24" ht="15.75" customHeight="1">
      <c r="X640" s="329"/>
    </row>
    <row r="641" spans="24:24" ht="15.75" customHeight="1">
      <c r="X641" s="329"/>
    </row>
    <row r="642" spans="24:24" ht="15.75" customHeight="1">
      <c r="X642" s="329"/>
    </row>
    <row r="643" spans="24:24" ht="15.75" customHeight="1">
      <c r="X643" s="329"/>
    </row>
    <row r="644" spans="24:24" ht="15.75" customHeight="1">
      <c r="X644" s="329"/>
    </row>
    <row r="645" spans="24:24" ht="15.75" customHeight="1">
      <c r="X645" s="329"/>
    </row>
    <row r="646" spans="24:24" ht="15.75" customHeight="1">
      <c r="X646" s="329"/>
    </row>
    <row r="647" spans="24:24" ht="15.75" customHeight="1">
      <c r="X647" s="329"/>
    </row>
    <row r="648" spans="24:24" ht="15.75" customHeight="1">
      <c r="X648" s="329"/>
    </row>
    <row r="649" spans="24:24" ht="15.75" customHeight="1">
      <c r="X649" s="329"/>
    </row>
    <row r="650" spans="24:24" ht="15.75" customHeight="1">
      <c r="X650" s="329"/>
    </row>
    <row r="651" spans="24:24" ht="15.75" customHeight="1">
      <c r="X651" s="329"/>
    </row>
    <row r="652" spans="24:24" ht="15.75" customHeight="1">
      <c r="X652" s="329"/>
    </row>
    <row r="653" spans="24:24" ht="15.75" customHeight="1">
      <c r="X653" s="329"/>
    </row>
    <row r="654" spans="24:24" ht="15.75" customHeight="1">
      <c r="X654" s="329"/>
    </row>
    <row r="655" spans="24:24" ht="15.75" customHeight="1">
      <c r="X655" s="329"/>
    </row>
    <row r="656" spans="24:24" ht="15.75" customHeight="1">
      <c r="X656" s="329"/>
    </row>
    <row r="657" spans="24:24" ht="15.75" customHeight="1">
      <c r="X657" s="329"/>
    </row>
    <row r="658" spans="24:24" ht="15.75" customHeight="1">
      <c r="X658" s="329"/>
    </row>
    <row r="659" spans="24:24" ht="15.75" customHeight="1">
      <c r="X659" s="329"/>
    </row>
    <row r="660" spans="24:24" ht="15.75" customHeight="1">
      <c r="X660" s="329"/>
    </row>
    <row r="661" spans="24:24" ht="15.75" customHeight="1">
      <c r="X661" s="329"/>
    </row>
    <row r="662" spans="24:24" ht="15.75" customHeight="1">
      <c r="X662" s="329"/>
    </row>
    <row r="663" spans="24:24" ht="15.75" customHeight="1">
      <c r="X663" s="329"/>
    </row>
    <row r="664" spans="24:24" ht="15.75" customHeight="1">
      <c r="X664" s="329"/>
    </row>
    <row r="665" spans="24:24" ht="15.75" customHeight="1">
      <c r="X665" s="329"/>
    </row>
    <row r="666" spans="24:24" ht="15.75" customHeight="1">
      <c r="X666" s="329"/>
    </row>
    <row r="667" spans="24:24" ht="15.75" customHeight="1">
      <c r="X667" s="329"/>
    </row>
    <row r="668" spans="24:24" ht="15.75" customHeight="1">
      <c r="X668" s="329"/>
    </row>
    <row r="669" spans="24:24" ht="15.75" customHeight="1">
      <c r="X669" s="329"/>
    </row>
    <row r="670" spans="24:24" ht="15.75" customHeight="1">
      <c r="X670" s="329"/>
    </row>
    <row r="671" spans="24:24" ht="15.75" customHeight="1">
      <c r="X671" s="329"/>
    </row>
    <row r="672" spans="24:24" ht="15.75" customHeight="1">
      <c r="X672" s="329"/>
    </row>
    <row r="673" spans="24:24" ht="15.75" customHeight="1">
      <c r="X673" s="329"/>
    </row>
    <row r="674" spans="24:24" ht="15.75" customHeight="1">
      <c r="X674" s="329"/>
    </row>
    <row r="675" spans="24:24" ht="15.75" customHeight="1">
      <c r="X675" s="329"/>
    </row>
    <row r="676" spans="24:24" ht="15.75" customHeight="1">
      <c r="X676" s="329"/>
    </row>
    <row r="677" spans="24:24" ht="15.75" customHeight="1">
      <c r="X677" s="329"/>
    </row>
    <row r="678" spans="24:24" ht="15.75" customHeight="1">
      <c r="X678" s="329"/>
    </row>
    <row r="679" spans="24:24" ht="15.75" customHeight="1">
      <c r="X679" s="329"/>
    </row>
    <row r="680" spans="24:24" ht="15.75" customHeight="1">
      <c r="X680" s="329"/>
    </row>
    <row r="681" spans="24:24" ht="15.75" customHeight="1">
      <c r="X681" s="329"/>
    </row>
    <row r="682" spans="24:24" ht="15.75" customHeight="1">
      <c r="X682" s="329"/>
    </row>
    <row r="683" spans="24:24" ht="15.75" customHeight="1">
      <c r="X683" s="329"/>
    </row>
    <row r="684" spans="24:24" ht="15.75" customHeight="1">
      <c r="X684" s="329"/>
    </row>
    <row r="685" spans="24:24" ht="15.75" customHeight="1">
      <c r="X685" s="329"/>
    </row>
    <row r="686" spans="24:24" ht="15.75" customHeight="1">
      <c r="X686" s="329"/>
    </row>
    <row r="687" spans="24:24" ht="15.75" customHeight="1">
      <c r="X687" s="329"/>
    </row>
    <row r="688" spans="24:24" ht="15.75" customHeight="1">
      <c r="X688" s="329"/>
    </row>
    <row r="689" spans="24:24" ht="15.75" customHeight="1">
      <c r="X689" s="329"/>
    </row>
    <row r="690" spans="24:24" ht="15.75" customHeight="1">
      <c r="X690" s="329"/>
    </row>
    <row r="691" spans="24:24" ht="15.75" customHeight="1">
      <c r="X691" s="329"/>
    </row>
    <row r="692" spans="24:24" ht="15.75" customHeight="1">
      <c r="X692" s="329"/>
    </row>
    <row r="693" spans="24:24" ht="15.75" customHeight="1">
      <c r="X693" s="329"/>
    </row>
    <row r="694" spans="24:24" ht="15.75" customHeight="1">
      <c r="X694" s="329"/>
    </row>
    <row r="695" spans="24:24" ht="15.75" customHeight="1">
      <c r="X695" s="329"/>
    </row>
    <row r="696" spans="24:24" ht="15.75" customHeight="1">
      <c r="X696" s="329"/>
    </row>
    <row r="697" spans="24:24" ht="15.75" customHeight="1">
      <c r="X697" s="329"/>
    </row>
    <row r="698" spans="24:24" ht="15.75" customHeight="1">
      <c r="X698" s="329"/>
    </row>
    <row r="699" spans="24:24" ht="15.75" customHeight="1">
      <c r="X699" s="329"/>
    </row>
    <row r="700" spans="24:24" ht="15.75" customHeight="1">
      <c r="X700" s="329"/>
    </row>
    <row r="701" spans="24:24" ht="15.75" customHeight="1">
      <c r="X701" s="329"/>
    </row>
    <row r="702" spans="24:24" ht="15.75" customHeight="1">
      <c r="X702" s="329"/>
    </row>
    <row r="703" spans="24:24" ht="15.75" customHeight="1">
      <c r="X703" s="329"/>
    </row>
    <row r="704" spans="24:24" ht="15.75" customHeight="1">
      <c r="X704" s="329"/>
    </row>
    <row r="705" spans="24:24" ht="15.75" customHeight="1">
      <c r="X705" s="329"/>
    </row>
    <row r="706" spans="24:24" ht="15.75" customHeight="1">
      <c r="X706" s="329"/>
    </row>
    <row r="707" spans="24:24" ht="15.75" customHeight="1">
      <c r="X707" s="329"/>
    </row>
    <row r="708" spans="24:24" ht="15.75" customHeight="1">
      <c r="X708" s="329"/>
    </row>
    <row r="709" spans="24:24" ht="15.75" customHeight="1">
      <c r="X709" s="329"/>
    </row>
    <row r="710" spans="24:24" ht="15.75" customHeight="1">
      <c r="X710" s="329"/>
    </row>
    <row r="711" spans="24:24" ht="15.75" customHeight="1">
      <c r="X711" s="329"/>
    </row>
    <row r="712" spans="24:24" ht="15.75" customHeight="1">
      <c r="X712" s="329"/>
    </row>
    <row r="713" spans="24:24" ht="15.75" customHeight="1">
      <c r="X713" s="329"/>
    </row>
    <row r="714" spans="24:24" ht="15.75" customHeight="1">
      <c r="X714" s="329"/>
    </row>
    <row r="715" spans="24:24" ht="15.75" customHeight="1">
      <c r="X715" s="329"/>
    </row>
    <row r="716" spans="24:24" ht="15.75" customHeight="1">
      <c r="X716" s="329"/>
    </row>
    <row r="717" spans="24:24" ht="15.75" customHeight="1">
      <c r="X717" s="329"/>
    </row>
    <row r="718" spans="24:24" ht="15.75" customHeight="1">
      <c r="X718" s="329"/>
    </row>
    <row r="719" spans="24:24" ht="15.75" customHeight="1">
      <c r="X719" s="329"/>
    </row>
    <row r="720" spans="24:24" ht="15.75" customHeight="1">
      <c r="X720" s="329"/>
    </row>
    <row r="721" spans="24:24" ht="15.75" customHeight="1">
      <c r="X721" s="329"/>
    </row>
    <row r="722" spans="24:24" ht="15.75" customHeight="1">
      <c r="X722" s="329"/>
    </row>
    <row r="723" spans="24:24" ht="15.75" customHeight="1">
      <c r="X723" s="329"/>
    </row>
    <row r="724" spans="24:24" ht="15.75" customHeight="1">
      <c r="X724" s="329"/>
    </row>
    <row r="725" spans="24:24" ht="15.75" customHeight="1">
      <c r="X725" s="329"/>
    </row>
    <row r="726" spans="24:24" ht="15.75" customHeight="1">
      <c r="X726" s="329"/>
    </row>
    <row r="727" spans="24:24" ht="15.75" customHeight="1">
      <c r="X727" s="329"/>
    </row>
    <row r="728" spans="24:24" ht="15.75" customHeight="1">
      <c r="X728" s="329"/>
    </row>
    <row r="729" spans="24:24" ht="15.75" customHeight="1">
      <c r="X729" s="329"/>
    </row>
    <row r="730" spans="24:24" ht="15.75" customHeight="1">
      <c r="X730" s="329"/>
    </row>
    <row r="731" spans="24:24" ht="15.75" customHeight="1">
      <c r="X731" s="329"/>
    </row>
    <row r="732" spans="24:24" ht="15.75" customHeight="1">
      <c r="X732" s="329"/>
    </row>
    <row r="733" spans="24:24" ht="15.75" customHeight="1">
      <c r="X733" s="329"/>
    </row>
    <row r="734" spans="24:24" ht="15.75" customHeight="1">
      <c r="X734" s="329"/>
    </row>
    <row r="735" spans="24:24" ht="15.75" customHeight="1">
      <c r="X735" s="329"/>
    </row>
    <row r="736" spans="24:24" ht="15.75" customHeight="1">
      <c r="X736" s="329"/>
    </row>
    <row r="737" spans="24:24" ht="15.75" customHeight="1">
      <c r="X737" s="329"/>
    </row>
    <row r="738" spans="24:24" ht="15.75" customHeight="1">
      <c r="X738" s="329"/>
    </row>
    <row r="739" spans="24:24" ht="15.75" customHeight="1">
      <c r="X739" s="329"/>
    </row>
    <row r="740" spans="24:24" ht="15.75" customHeight="1">
      <c r="X740" s="329"/>
    </row>
    <row r="741" spans="24:24" ht="15.75" customHeight="1">
      <c r="X741" s="329"/>
    </row>
    <row r="742" spans="24:24" ht="15.75" customHeight="1">
      <c r="X742" s="329"/>
    </row>
    <row r="743" spans="24:24" ht="15.75" customHeight="1">
      <c r="X743" s="329"/>
    </row>
    <row r="744" spans="24:24" ht="15.75" customHeight="1">
      <c r="X744" s="329"/>
    </row>
    <row r="745" spans="24:24" ht="15.75" customHeight="1">
      <c r="X745" s="329"/>
    </row>
    <row r="746" spans="24:24" ht="15.75" customHeight="1">
      <c r="X746" s="329"/>
    </row>
    <row r="747" spans="24:24" ht="15.75" customHeight="1">
      <c r="X747" s="329"/>
    </row>
    <row r="748" spans="24:24" ht="15.75" customHeight="1">
      <c r="X748" s="329"/>
    </row>
    <row r="749" spans="24:24" ht="15.75" customHeight="1">
      <c r="X749" s="329"/>
    </row>
    <row r="750" spans="24:24" ht="15.75" customHeight="1">
      <c r="X750" s="329"/>
    </row>
    <row r="751" spans="24:24" ht="15.75" customHeight="1">
      <c r="X751" s="329"/>
    </row>
    <row r="752" spans="24:24" ht="15.75" customHeight="1">
      <c r="X752" s="329"/>
    </row>
    <row r="753" spans="24:24" ht="15.75" customHeight="1">
      <c r="X753" s="329"/>
    </row>
    <row r="754" spans="24:24" ht="15.75" customHeight="1">
      <c r="X754" s="329"/>
    </row>
    <row r="755" spans="24:24" ht="15.75" customHeight="1">
      <c r="X755" s="329"/>
    </row>
    <row r="756" spans="24:24" ht="15.75" customHeight="1">
      <c r="X756" s="329"/>
    </row>
    <row r="757" spans="24:24" ht="15.75" customHeight="1">
      <c r="X757" s="329"/>
    </row>
    <row r="758" spans="24:24" ht="15.75" customHeight="1">
      <c r="X758" s="329"/>
    </row>
    <row r="759" spans="24:24" ht="15.75" customHeight="1">
      <c r="X759" s="329"/>
    </row>
    <row r="760" spans="24:24" ht="15.75" customHeight="1">
      <c r="X760" s="329"/>
    </row>
    <row r="761" spans="24:24" ht="15.75" customHeight="1">
      <c r="X761" s="329"/>
    </row>
    <row r="762" spans="24:24" ht="15.75" customHeight="1">
      <c r="X762" s="329"/>
    </row>
    <row r="763" spans="24:24" ht="15.75" customHeight="1">
      <c r="X763" s="329"/>
    </row>
    <row r="764" spans="24:24" ht="15.75" customHeight="1">
      <c r="X764" s="329"/>
    </row>
    <row r="765" spans="24:24" ht="15.75" customHeight="1">
      <c r="X765" s="329"/>
    </row>
    <row r="766" spans="24:24" ht="15.75" customHeight="1">
      <c r="X766" s="329"/>
    </row>
    <row r="767" spans="24:24" ht="15.75" customHeight="1">
      <c r="X767" s="329"/>
    </row>
    <row r="768" spans="24:24" ht="15.75" customHeight="1">
      <c r="X768" s="329"/>
    </row>
    <row r="769" spans="24:24" ht="15.75" customHeight="1">
      <c r="X769" s="329"/>
    </row>
    <row r="770" spans="24:24" ht="15.75" customHeight="1">
      <c r="X770" s="329"/>
    </row>
    <row r="771" spans="24:24" ht="15.75" customHeight="1">
      <c r="X771" s="329"/>
    </row>
    <row r="772" spans="24:24" ht="15.75" customHeight="1">
      <c r="X772" s="329"/>
    </row>
    <row r="773" spans="24:24" ht="15.75" customHeight="1">
      <c r="X773" s="329"/>
    </row>
    <row r="774" spans="24:24" ht="15.75" customHeight="1">
      <c r="X774" s="329"/>
    </row>
    <row r="775" spans="24:24" ht="15.75" customHeight="1">
      <c r="X775" s="329"/>
    </row>
    <row r="776" spans="24:24" ht="15.75" customHeight="1">
      <c r="X776" s="329"/>
    </row>
    <row r="777" spans="24:24" ht="15.75" customHeight="1">
      <c r="X777" s="329"/>
    </row>
    <row r="778" spans="24:24" ht="15.75" customHeight="1">
      <c r="X778" s="329"/>
    </row>
    <row r="779" spans="24:24" ht="15.75" customHeight="1">
      <c r="X779" s="329"/>
    </row>
    <row r="780" spans="24:24" ht="15.75" customHeight="1">
      <c r="X780" s="329"/>
    </row>
    <row r="781" spans="24:24" ht="15.75" customHeight="1">
      <c r="X781" s="329"/>
    </row>
    <row r="782" spans="24:24" ht="15.75" customHeight="1">
      <c r="X782" s="329"/>
    </row>
    <row r="783" spans="24:24" ht="15.75" customHeight="1">
      <c r="X783" s="329"/>
    </row>
    <row r="784" spans="24:24" ht="15.75" customHeight="1">
      <c r="X784" s="329"/>
    </row>
    <row r="785" spans="24:24" ht="15.75" customHeight="1">
      <c r="X785" s="329"/>
    </row>
    <row r="786" spans="24:24" ht="15.75" customHeight="1">
      <c r="X786" s="329"/>
    </row>
    <row r="787" spans="24:24" ht="15.75" customHeight="1">
      <c r="X787" s="329"/>
    </row>
    <row r="788" spans="24:24" ht="15.75" customHeight="1">
      <c r="X788" s="329"/>
    </row>
    <row r="789" spans="24:24" ht="15.75" customHeight="1">
      <c r="X789" s="329"/>
    </row>
    <row r="790" spans="24:24" ht="15.75" customHeight="1">
      <c r="X790" s="329"/>
    </row>
    <row r="791" spans="24:24" ht="15.75" customHeight="1">
      <c r="X791" s="329"/>
    </row>
    <row r="792" spans="24:24" ht="15.75" customHeight="1">
      <c r="X792" s="329"/>
    </row>
    <row r="793" spans="24:24" ht="15.75" customHeight="1">
      <c r="X793" s="329"/>
    </row>
    <row r="794" spans="24:24" ht="15.75" customHeight="1">
      <c r="X794" s="329"/>
    </row>
    <row r="795" spans="24:24" ht="15.75" customHeight="1">
      <c r="X795" s="329"/>
    </row>
    <row r="796" spans="24:24" ht="15.75" customHeight="1">
      <c r="X796" s="329"/>
    </row>
    <row r="797" spans="24:24" ht="15.75" customHeight="1">
      <c r="X797" s="329"/>
    </row>
    <row r="798" spans="24:24" ht="15.75" customHeight="1">
      <c r="X798" s="329"/>
    </row>
    <row r="799" spans="24:24" ht="15.75" customHeight="1">
      <c r="X799" s="329"/>
    </row>
    <row r="800" spans="24:24" ht="15.75" customHeight="1">
      <c r="X800" s="329"/>
    </row>
    <row r="801" spans="24:24" ht="15.75" customHeight="1">
      <c r="X801" s="329"/>
    </row>
    <row r="802" spans="24:24" ht="15.75" customHeight="1">
      <c r="X802" s="329"/>
    </row>
    <row r="803" spans="24:24" ht="15.75" customHeight="1">
      <c r="X803" s="329"/>
    </row>
    <row r="804" spans="24:24" ht="15.75" customHeight="1">
      <c r="X804" s="329"/>
    </row>
    <row r="805" spans="24:24" ht="15.75" customHeight="1">
      <c r="X805" s="329"/>
    </row>
    <row r="806" spans="24:24" ht="15.75" customHeight="1">
      <c r="X806" s="329"/>
    </row>
    <row r="807" spans="24:24" ht="15.75" customHeight="1">
      <c r="X807" s="329"/>
    </row>
    <row r="808" spans="24:24" ht="15.75" customHeight="1">
      <c r="X808" s="329"/>
    </row>
    <row r="809" spans="24:24" ht="15.75" customHeight="1">
      <c r="X809" s="329"/>
    </row>
    <row r="810" spans="24:24" ht="15.75" customHeight="1">
      <c r="X810" s="329"/>
    </row>
    <row r="811" spans="24:24" ht="15.75" customHeight="1">
      <c r="X811" s="329"/>
    </row>
    <row r="812" spans="24:24" ht="15.75" customHeight="1">
      <c r="X812" s="329"/>
    </row>
    <row r="813" spans="24:24" ht="15.75" customHeight="1">
      <c r="X813" s="329"/>
    </row>
    <row r="814" spans="24:24" ht="15.75" customHeight="1">
      <c r="X814" s="329"/>
    </row>
    <row r="815" spans="24:24" ht="15.75" customHeight="1">
      <c r="X815" s="329"/>
    </row>
    <row r="816" spans="24:24" ht="15.75" customHeight="1">
      <c r="X816" s="329"/>
    </row>
    <row r="817" spans="24:24" ht="15.75" customHeight="1">
      <c r="X817" s="329"/>
    </row>
    <row r="818" spans="24:24" ht="15.75" customHeight="1">
      <c r="X818" s="329"/>
    </row>
    <row r="819" spans="24:24" ht="15.75" customHeight="1">
      <c r="X819" s="329"/>
    </row>
    <row r="820" spans="24:24" ht="15.75" customHeight="1">
      <c r="X820" s="329"/>
    </row>
    <row r="821" spans="24:24" ht="15.75" customHeight="1">
      <c r="X821" s="329"/>
    </row>
    <row r="822" spans="24:24" ht="15.75" customHeight="1">
      <c r="X822" s="329"/>
    </row>
    <row r="823" spans="24:24" ht="15.75" customHeight="1">
      <c r="X823" s="329"/>
    </row>
    <row r="824" spans="24:24" ht="15.75" customHeight="1">
      <c r="X824" s="329"/>
    </row>
    <row r="825" spans="24:24" ht="15.75" customHeight="1">
      <c r="X825" s="329"/>
    </row>
    <row r="826" spans="24:24" ht="15.75" customHeight="1">
      <c r="X826" s="329"/>
    </row>
    <row r="827" spans="24:24" ht="15.75" customHeight="1">
      <c r="X827" s="329"/>
    </row>
    <row r="828" spans="24:24" ht="15.75" customHeight="1">
      <c r="X828" s="329"/>
    </row>
    <row r="829" spans="24:24" ht="15.75" customHeight="1">
      <c r="X829" s="329"/>
    </row>
    <row r="830" spans="24:24" ht="15.75" customHeight="1">
      <c r="X830" s="329"/>
    </row>
    <row r="831" spans="24:24" ht="15.75" customHeight="1">
      <c r="X831" s="329"/>
    </row>
    <row r="832" spans="24:24" ht="15.75" customHeight="1">
      <c r="X832" s="329"/>
    </row>
    <row r="833" spans="24:24" ht="15.75" customHeight="1">
      <c r="X833" s="329"/>
    </row>
    <row r="834" spans="24:24" ht="15.75" customHeight="1">
      <c r="X834" s="329"/>
    </row>
    <row r="835" spans="24:24" ht="15.75" customHeight="1">
      <c r="X835" s="329"/>
    </row>
    <row r="836" spans="24:24" ht="15.75" customHeight="1">
      <c r="X836" s="329"/>
    </row>
    <row r="837" spans="24:24" ht="15.75" customHeight="1">
      <c r="X837" s="329"/>
    </row>
    <row r="838" spans="24:24" ht="15.75" customHeight="1">
      <c r="X838" s="329"/>
    </row>
    <row r="839" spans="24:24" ht="15.75" customHeight="1">
      <c r="X839" s="329"/>
    </row>
    <row r="840" spans="24:24" ht="15.75" customHeight="1">
      <c r="X840" s="329"/>
    </row>
    <row r="841" spans="24:24" ht="15.75" customHeight="1">
      <c r="X841" s="329"/>
    </row>
    <row r="842" spans="24:24" ht="15.75" customHeight="1">
      <c r="X842" s="329"/>
    </row>
    <row r="843" spans="24:24" ht="15.75" customHeight="1">
      <c r="X843" s="329"/>
    </row>
    <row r="844" spans="24:24" ht="15.75" customHeight="1">
      <c r="X844" s="329"/>
    </row>
    <row r="845" spans="24:24" ht="15.75" customHeight="1">
      <c r="X845" s="329"/>
    </row>
    <row r="846" spans="24:24" ht="15.75" customHeight="1">
      <c r="X846" s="329"/>
    </row>
    <row r="847" spans="24:24" ht="15.75" customHeight="1">
      <c r="X847" s="329"/>
    </row>
    <row r="848" spans="24:24" ht="15.75" customHeight="1">
      <c r="X848" s="329"/>
    </row>
    <row r="849" spans="24:24" ht="15.75" customHeight="1">
      <c r="X849" s="329"/>
    </row>
    <row r="850" spans="24:24" ht="15.75" customHeight="1">
      <c r="X850" s="329"/>
    </row>
    <row r="851" spans="24:24" ht="15.75" customHeight="1">
      <c r="X851" s="329"/>
    </row>
    <row r="852" spans="24:24" ht="15.75" customHeight="1">
      <c r="X852" s="329"/>
    </row>
    <row r="853" spans="24:24" ht="15.75" customHeight="1">
      <c r="X853" s="329"/>
    </row>
    <row r="854" spans="24:24" ht="15.75" customHeight="1">
      <c r="X854" s="329"/>
    </row>
    <row r="855" spans="24:24" ht="15.75" customHeight="1">
      <c r="X855" s="329"/>
    </row>
    <row r="856" spans="24:24" ht="15.75" customHeight="1">
      <c r="X856" s="329"/>
    </row>
    <row r="857" spans="24:24" ht="15.75" customHeight="1">
      <c r="X857" s="329"/>
    </row>
    <row r="858" spans="24:24" ht="15.75" customHeight="1">
      <c r="X858" s="329"/>
    </row>
    <row r="859" spans="24:24" ht="15.75" customHeight="1">
      <c r="X859" s="329"/>
    </row>
    <row r="860" spans="24:24" ht="15.75" customHeight="1">
      <c r="X860" s="329"/>
    </row>
    <row r="861" spans="24:24" ht="15.75" customHeight="1">
      <c r="X861" s="329"/>
    </row>
    <row r="862" spans="24:24" ht="15.75" customHeight="1">
      <c r="X862" s="329"/>
    </row>
    <row r="863" spans="24:24" ht="15.75" customHeight="1">
      <c r="X863" s="329"/>
    </row>
    <row r="864" spans="24:24" ht="15.75" customHeight="1">
      <c r="X864" s="329"/>
    </row>
    <row r="865" spans="24:24" ht="15.75" customHeight="1">
      <c r="X865" s="329"/>
    </row>
    <row r="866" spans="24:24" ht="15.75" customHeight="1">
      <c r="X866" s="329"/>
    </row>
    <row r="867" spans="24:24" ht="15.75" customHeight="1">
      <c r="X867" s="329"/>
    </row>
    <row r="868" spans="24:24" ht="15.75" customHeight="1">
      <c r="X868" s="329"/>
    </row>
    <row r="869" spans="24:24" ht="15.75" customHeight="1">
      <c r="X869" s="329"/>
    </row>
    <row r="870" spans="24:24" ht="15.75" customHeight="1">
      <c r="X870" s="329"/>
    </row>
    <row r="871" spans="24:24" ht="15.75" customHeight="1">
      <c r="X871" s="329"/>
    </row>
    <row r="872" spans="24:24" ht="15.75" customHeight="1">
      <c r="X872" s="329"/>
    </row>
    <row r="873" spans="24:24" ht="15.75" customHeight="1">
      <c r="X873" s="329"/>
    </row>
    <row r="874" spans="24:24" ht="15.75" customHeight="1">
      <c r="X874" s="329"/>
    </row>
    <row r="875" spans="24:24" ht="15.75" customHeight="1">
      <c r="X875" s="329"/>
    </row>
    <row r="876" spans="24:24" ht="15.75" customHeight="1">
      <c r="X876" s="329"/>
    </row>
    <row r="877" spans="24:24" ht="15.75" customHeight="1">
      <c r="X877" s="329"/>
    </row>
    <row r="878" spans="24:24" ht="15.75" customHeight="1">
      <c r="X878" s="329"/>
    </row>
    <row r="879" spans="24:24" ht="15.75" customHeight="1">
      <c r="X879" s="329"/>
    </row>
    <row r="880" spans="24:24" ht="15.75" customHeight="1">
      <c r="X880" s="329"/>
    </row>
    <row r="881" spans="24:24" ht="15.75" customHeight="1">
      <c r="X881" s="329"/>
    </row>
    <row r="882" spans="24:24" ht="15.75" customHeight="1">
      <c r="X882" s="329"/>
    </row>
    <row r="883" spans="24:24" ht="15.75" customHeight="1">
      <c r="X883" s="329"/>
    </row>
    <row r="884" spans="24:24" ht="15.75" customHeight="1">
      <c r="X884" s="329"/>
    </row>
    <row r="885" spans="24:24" ht="15.75" customHeight="1">
      <c r="X885" s="329"/>
    </row>
    <row r="886" spans="24:24" ht="15.75" customHeight="1">
      <c r="X886" s="329"/>
    </row>
    <row r="887" spans="24:24" ht="15.75" customHeight="1">
      <c r="X887" s="329"/>
    </row>
    <row r="888" spans="24:24" ht="15.75" customHeight="1">
      <c r="X888" s="329"/>
    </row>
    <row r="889" spans="24:24" ht="15.75" customHeight="1">
      <c r="X889" s="329"/>
    </row>
    <row r="890" spans="24:24" ht="15.75" customHeight="1">
      <c r="X890" s="329"/>
    </row>
    <row r="891" spans="24:24" ht="15.75" customHeight="1">
      <c r="X891" s="329"/>
    </row>
    <row r="892" spans="24:24" ht="15.75" customHeight="1">
      <c r="X892" s="329"/>
    </row>
    <row r="893" spans="24:24" ht="15.75" customHeight="1">
      <c r="X893" s="329"/>
    </row>
    <row r="894" spans="24:24" ht="15.75" customHeight="1">
      <c r="X894" s="329"/>
    </row>
    <row r="895" spans="24:24" ht="15.75" customHeight="1">
      <c r="X895" s="329"/>
    </row>
    <row r="896" spans="24:24" ht="15.75" customHeight="1">
      <c r="X896" s="329"/>
    </row>
    <row r="897" spans="24:24" ht="15.75" customHeight="1">
      <c r="X897" s="329"/>
    </row>
    <row r="898" spans="24:24" ht="15.75" customHeight="1">
      <c r="X898" s="329"/>
    </row>
    <row r="899" spans="24:24" ht="15.75" customHeight="1">
      <c r="X899" s="329"/>
    </row>
    <row r="900" spans="24:24" ht="15.75" customHeight="1">
      <c r="X900" s="329"/>
    </row>
    <row r="901" spans="24:24" ht="15.75" customHeight="1">
      <c r="X901" s="329"/>
    </row>
    <row r="902" spans="24:24" ht="15.75" customHeight="1">
      <c r="X902" s="329"/>
    </row>
    <row r="903" spans="24:24" ht="15.75" customHeight="1">
      <c r="X903" s="329"/>
    </row>
    <row r="904" spans="24:24" ht="15.75" customHeight="1">
      <c r="X904" s="329"/>
    </row>
    <row r="905" spans="24:24" ht="15.75" customHeight="1">
      <c r="X905" s="329"/>
    </row>
    <row r="906" spans="24:24" ht="15.75" customHeight="1">
      <c r="X906" s="329"/>
    </row>
    <row r="907" spans="24:24" ht="15.75" customHeight="1">
      <c r="X907" s="329"/>
    </row>
    <row r="908" spans="24:24" ht="15.75" customHeight="1">
      <c r="X908" s="329"/>
    </row>
    <row r="909" spans="24:24" ht="15.75" customHeight="1">
      <c r="X909" s="329"/>
    </row>
    <row r="910" spans="24:24" ht="15.75" customHeight="1">
      <c r="X910" s="329"/>
    </row>
    <row r="911" spans="24:24" ht="15.75" customHeight="1">
      <c r="X911" s="329"/>
    </row>
    <row r="912" spans="24:24" ht="15.75" customHeight="1">
      <c r="X912" s="329"/>
    </row>
    <row r="913" spans="24:24" ht="15.75" customHeight="1">
      <c r="X913" s="329"/>
    </row>
    <row r="914" spans="24:24" ht="15.75" customHeight="1">
      <c r="X914" s="329"/>
    </row>
    <row r="915" spans="24:24" ht="15.75" customHeight="1">
      <c r="X915" s="329"/>
    </row>
    <row r="916" spans="24:24" ht="15.75" customHeight="1">
      <c r="X916" s="329"/>
    </row>
    <row r="917" spans="24:24" ht="15.75" customHeight="1">
      <c r="X917" s="329"/>
    </row>
    <row r="918" spans="24:24" ht="15.75" customHeight="1">
      <c r="X918" s="329"/>
    </row>
    <row r="919" spans="24:24" ht="15.75" customHeight="1">
      <c r="X919" s="329"/>
    </row>
    <row r="920" spans="24:24" ht="15.75" customHeight="1">
      <c r="X920" s="329"/>
    </row>
    <row r="921" spans="24:24" ht="15.75" customHeight="1">
      <c r="X921" s="329"/>
    </row>
    <row r="922" spans="24:24" ht="15.75" customHeight="1">
      <c r="X922" s="329"/>
    </row>
    <row r="923" spans="24:24" ht="15.75" customHeight="1">
      <c r="X923" s="329"/>
    </row>
    <row r="924" spans="24:24" ht="15.75" customHeight="1">
      <c r="X924" s="329"/>
    </row>
    <row r="925" spans="24:24" ht="15.75" customHeight="1">
      <c r="X925" s="329"/>
    </row>
    <row r="926" spans="24:24" ht="15.75" customHeight="1">
      <c r="X926" s="329"/>
    </row>
    <row r="927" spans="24:24" ht="15.75" customHeight="1">
      <c r="X927" s="329"/>
    </row>
    <row r="928" spans="24:24" ht="15.75" customHeight="1">
      <c r="X928" s="329"/>
    </row>
    <row r="929" spans="24:24" ht="15.75" customHeight="1">
      <c r="X929" s="329"/>
    </row>
    <row r="930" spans="24:24" ht="15.75" customHeight="1">
      <c r="X930" s="329"/>
    </row>
    <row r="931" spans="24:24" ht="15.75" customHeight="1">
      <c r="X931" s="329"/>
    </row>
    <row r="932" spans="24:24" ht="15.75" customHeight="1">
      <c r="X932" s="329"/>
    </row>
    <row r="933" spans="24:24" ht="15.75" customHeight="1">
      <c r="X933" s="329"/>
    </row>
    <row r="934" spans="24:24" ht="15.75" customHeight="1">
      <c r="X934" s="329"/>
    </row>
    <row r="935" spans="24:24" ht="15.75" customHeight="1">
      <c r="X935" s="329"/>
    </row>
    <row r="936" spans="24:24" ht="15.75" customHeight="1">
      <c r="X936" s="329"/>
    </row>
    <row r="937" spans="24:24" ht="15.75" customHeight="1">
      <c r="X937" s="329"/>
    </row>
    <row r="938" spans="24:24" ht="15.75" customHeight="1">
      <c r="X938" s="329"/>
    </row>
    <row r="939" spans="24:24" ht="15.75" customHeight="1">
      <c r="X939" s="329"/>
    </row>
    <row r="940" spans="24:24" ht="15.75" customHeight="1">
      <c r="X940" s="329"/>
    </row>
    <row r="941" spans="24:24" ht="15.75" customHeight="1">
      <c r="X941" s="329"/>
    </row>
    <row r="942" spans="24:24" ht="15.75" customHeight="1">
      <c r="X942" s="329"/>
    </row>
    <row r="943" spans="24:24" ht="15.75" customHeight="1">
      <c r="X943" s="329"/>
    </row>
    <row r="944" spans="24:24" ht="15.75" customHeight="1">
      <c r="X944" s="329"/>
    </row>
    <row r="945" spans="24:24" ht="15.75" customHeight="1">
      <c r="X945" s="329"/>
    </row>
    <row r="946" spans="24:24" ht="15.75" customHeight="1">
      <c r="X946" s="329"/>
    </row>
    <row r="947" spans="24:24" ht="15.75" customHeight="1">
      <c r="X947" s="329"/>
    </row>
    <row r="948" spans="24:24" ht="15.75" customHeight="1">
      <c r="X948" s="329"/>
    </row>
    <row r="949" spans="24:24" ht="15.75" customHeight="1">
      <c r="X949" s="329"/>
    </row>
    <row r="950" spans="24:24" ht="15.75" customHeight="1">
      <c r="X950" s="329"/>
    </row>
    <row r="951" spans="24:24" ht="15.75" customHeight="1">
      <c r="X951" s="329"/>
    </row>
    <row r="952" spans="24:24" ht="15.75" customHeight="1">
      <c r="X952" s="329"/>
    </row>
    <row r="953" spans="24:24" ht="15.75" customHeight="1">
      <c r="X953" s="329"/>
    </row>
    <row r="954" spans="24:24" ht="15.75" customHeight="1">
      <c r="X954" s="329"/>
    </row>
    <row r="955" spans="24:24" ht="15.75" customHeight="1">
      <c r="X955" s="329"/>
    </row>
    <row r="956" spans="24:24" ht="15.75" customHeight="1">
      <c r="X956" s="329"/>
    </row>
    <row r="957" spans="24:24" ht="15.75" customHeight="1">
      <c r="X957" s="329"/>
    </row>
    <row r="958" spans="24:24" ht="15.75" customHeight="1">
      <c r="X958" s="329"/>
    </row>
  </sheetData>
  <mergeCells count="2">
    <mergeCell ref="L4:O4"/>
    <mergeCell ref="P4:R4"/>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X1005"/>
  <sheetViews>
    <sheetView tabSelected="1" topLeftCell="A8" workbookViewId="0">
      <selection activeCell="I15" sqref="I15"/>
    </sheetView>
  </sheetViews>
  <sheetFormatPr defaultColWidth="12.5703125" defaultRowHeight="15" customHeight="1"/>
  <cols>
    <col min="1" max="1" width="5.7109375" customWidth="1"/>
    <col min="2" max="2" width="26.7109375" customWidth="1"/>
    <col min="3" max="3" width="13.5703125" customWidth="1"/>
    <col min="4" max="4" width="12.5703125" customWidth="1"/>
    <col min="5" max="6" width="13.42578125" customWidth="1"/>
    <col min="7" max="7" width="12.7109375" customWidth="1"/>
    <col min="8" max="8" width="2.42578125" customWidth="1"/>
    <col min="9" max="9" width="57.42578125" style="612" customWidth="1"/>
    <col min="10" max="10" width="2.7109375" customWidth="1"/>
    <col min="11" max="11" width="10.42578125" customWidth="1"/>
    <col min="12" max="12" width="11.42578125" customWidth="1"/>
    <col min="13" max="13" width="11" customWidth="1"/>
    <col min="14" max="15" width="10.42578125" customWidth="1"/>
    <col min="16" max="16" width="10" customWidth="1"/>
    <col min="17" max="17" width="10.140625" customWidth="1"/>
    <col min="18" max="18" width="11" customWidth="1"/>
    <col min="19" max="19" width="10.85546875" customWidth="1"/>
    <col min="20" max="20" width="10.42578125" customWidth="1"/>
    <col min="21" max="21" width="10.5703125" customWidth="1"/>
    <col min="22" max="22" width="9.5703125" customWidth="1"/>
    <col min="23" max="23" width="3.5703125" customWidth="1"/>
    <col min="24" max="24" width="13.140625" customWidth="1"/>
  </cols>
  <sheetData>
    <row r="1" spans="1:24" ht="15.75" customHeight="1">
      <c r="A1" s="128" t="s">
        <v>122</v>
      </c>
      <c r="B1" s="129"/>
      <c r="C1" s="292"/>
      <c r="D1" s="132"/>
      <c r="E1" s="132"/>
      <c r="F1" s="132"/>
      <c r="G1" s="132"/>
      <c r="H1" s="132"/>
      <c r="I1" s="605"/>
      <c r="J1" s="132"/>
      <c r="K1" s="132"/>
      <c r="L1" s="130"/>
      <c r="M1" s="129"/>
      <c r="N1" s="129"/>
      <c r="O1" s="129"/>
      <c r="P1" s="129"/>
      <c r="Q1" s="129"/>
      <c r="R1" s="129"/>
      <c r="S1" s="131"/>
      <c r="T1" s="131"/>
      <c r="U1" s="129"/>
      <c r="V1" s="129"/>
      <c r="W1" s="132"/>
      <c r="X1" s="103"/>
    </row>
    <row r="2" spans="1:24" ht="15.75" customHeight="1">
      <c r="A2" s="128" t="s">
        <v>309</v>
      </c>
      <c r="B2" s="129"/>
      <c r="C2" s="292"/>
      <c r="D2" s="132"/>
      <c r="E2" s="132"/>
      <c r="F2" s="132"/>
      <c r="G2" s="132"/>
      <c r="H2" s="132"/>
      <c r="I2" s="605"/>
      <c r="J2" s="132"/>
      <c r="K2" s="132"/>
      <c r="L2" s="129"/>
      <c r="M2" s="129"/>
      <c r="N2" s="129"/>
      <c r="O2" s="129"/>
      <c r="P2" s="129"/>
      <c r="Q2" s="129"/>
      <c r="R2" s="129"/>
      <c r="S2" s="129"/>
      <c r="T2" s="129"/>
      <c r="U2" s="129"/>
      <c r="V2" s="129"/>
      <c r="W2" s="132"/>
      <c r="X2" s="103"/>
    </row>
    <row r="3" spans="1:24" ht="15.75" customHeight="1">
      <c r="A3" s="293"/>
      <c r="B3" s="294"/>
      <c r="C3" s="292"/>
      <c r="D3" s="132"/>
      <c r="E3" s="132"/>
      <c r="F3" s="132"/>
      <c r="G3" s="132"/>
      <c r="H3" s="132"/>
      <c r="I3" s="605"/>
      <c r="J3" s="132"/>
      <c r="K3" s="132"/>
      <c r="L3" s="160"/>
      <c r="M3" s="160"/>
      <c r="N3" s="160"/>
      <c r="O3" s="295"/>
      <c r="P3" s="160"/>
      <c r="Q3" s="160"/>
      <c r="R3" s="160"/>
      <c r="S3" s="160"/>
      <c r="T3" s="160"/>
      <c r="U3" s="160"/>
      <c r="V3" s="160"/>
      <c r="W3" s="132"/>
      <c r="X3" s="103"/>
    </row>
    <row r="4" spans="1:24" ht="15.75" customHeight="1">
      <c r="A4" s="128"/>
      <c r="B4" s="129"/>
      <c r="C4" s="292"/>
      <c r="D4" s="136"/>
      <c r="E4" s="136"/>
      <c r="F4" s="136"/>
      <c r="G4" s="136"/>
      <c r="H4" s="136"/>
      <c r="I4" s="606"/>
      <c r="J4" s="136"/>
      <c r="K4" s="136"/>
      <c r="L4" s="596"/>
      <c r="M4" s="581"/>
      <c r="N4" s="581"/>
      <c r="O4" s="581"/>
      <c r="P4" s="596"/>
      <c r="Q4" s="581"/>
      <c r="R4" s="581"/>
      <c r="S4" s="296"/>
      <c r="T4" s="296"/>
      <c r="U4" s="296"/>
      <c r="V4" s="296"/>
      <c r="W4" s="136"/>
      <c r="X4" s="297"/>
    </row>
    <row r="5" spans="1:24" ht="36.75" customHeight="1">
      <c r="A5" s="128" t="s">
        <v>126</v>
      </c>
      <c r="B5" s="129"/>
      <c r="C5" s="137" t="s">
        <v>127</v>
      </c>
      <c r="D5" s="140" t="s">
        <v>128</v>
      </c>
      <c r="E5" s="140" t="s">
        <v>129</v>
      </c>
      <c r="F5" s="140" t="s">
        <v>130</v>
      </c>
      <c r="G5" s="140" t="s">
        <v>131</v>
      </c>
      <c r="H5" s="298"/>
      <c r="I5" s="607" t="s">
        <v>298</v>
      </c>
      <c r="J5" s="298"/>
      <c r="K5" s="142">
        <v>45474</v>
      </c>
      <c r="L5" s="142">
        <v>45505</v>
      </c>
      <c r="M5" s="142">
        <v>45536</v>
      </c>
      <c r="N5" s="142">
        <v>45566</v>
      </c>
      <c r="O5" s="142">
        <v>45597</v>
      </c>
      <c r="P5" s="142">
        <v>45627</v>
      </c>
      <c r="Q5" s="142">
        <v>45658</v>
      </c>
      <c r="R5" s="142">
        <v>45689</v>
      </c>
      <c r="S5" s="142">
        <v>45717</v>
      </c>
      <c r="T5" s="142">
        <v>45748</v>
      </c>
      <c r="U5" s="142">
        <v>45778</v>
      </c>
      <c r="V5" s="142">
        <v>45809</v>
      </c>
      <c r="W5" s="300"/>
      <c r="X5" s="144" t="s">
        <v>132</v>
      </c>
    </row>
    <row r="6" spans="1:24" ht="15.75" customHeight="1">
      <c r="A6" s="128"/>
      <c r="B6" s="129" t="s">
        <v>133</v>
      </c>
      <c r="C6" s="292">
        <v>12518566</v>
      </c>
      <c r="D6" s="351">
        <v>7389836.0099999998</v>
      </c>
      <c r="E6" s="358">
        <f>1543667.25*5</f>
        <v>7718336.25</v>
      </c>
      <c r="F6" s="358">
        <f>(1543667.25*0.97)*10</f>
        <v>14973572.324999999</v>
      </c>
      <c r="G6" s="147">
        <f t="shared" ref="G6:G13" si="0">F6-C6</f>
        <v>2455006.3249999993</v>
      </c>
      <c r="H6" s="148"/>
      <c r="I6" s="600" t="s">
        <v>310</v>
      </c>
      <c r="J6" s="148"/>
      <c r="K6" s="359">
        <v>0</v>
      </c>
      <c r="L6" s="360">
        <f t="shared" ref="L6:U6" si="1">$F$6/10</f>
        <v>1497357.2324999999</v>
      </c>
      <c r="M6" s="360">
        <f t="shared" si="1"/>
        <v>1497357.2324999999</v>
      </c>
      <c r="N6" s="360">
        <f t="shared" si="1"/>
        <v>1497357.2324999999</v>
      </c>
      <c r="O6" s="360">
        <f t="shared" si="1"/>
        <v>1497357.2324999999</v>
      </c>
      <c r="P6" s="360">
        <f t="shared" si="1"/>
        <v>1497357.2324999999</v>
      </c>
      <c r="Q6" s="360">
        <f t="shared" si="1"/>
        <v>1497357.2324999999</v>
      </c>
      <c r="R6" s="360">
        <f t="shared" si="1"/>
        <v>1497357.2324999999</v>
      </c>
      <c r="S6" s="360">
        <f t="shared" si="1"/>
        <v>1497357.2324999999</v>
      </c>
      <c r="T6" s="360">
        <f t="shared" si="1"/>
        <v>1497357.2324999999</v>
      </c>
      <c r="U6" s="360">
        <f t="shared" si="1"/>
        <v>1497357.2324999999</v>
      </c>
      <c r="V6" s="361">
        <v>0</v>
      </c>
      <c r="W6" s="143"/>
      <c r="X6" s="144">
        <f t="shared" ref="X6:X14" si="2">SUM(K6:V6)</f>
        <v>14973572.324999999</v>
      </c>
    </row>
    <row r="7" spans="1:24" ht="15.75" customHeight="1">
      <c r="A7" s="128"/>
      <c r="B7" s="129" t="s">
        <v>134</v>
      </c>
      <c r="C7" s="292">
        <v>0</v>
      </c>
      <c r="D7" s="351">
        <v>67211.570000000007</v>
      </c>
      <c r="E7" s="358">
        <f>366+10000+5700+14100+65225</f>
        <v>95391</v>
      </c>
      <c r="F7" s="358">
        <v>0</v>
      </c>
      <c r="G7" s="147">
        <f t="shared" si="0"/>
        <v>0</v>
      </c>
      <c r="H7" s="148"/>
      <c r="I7" s="601"/>
      <c r="J7" s="148"/>
      <c r="K7" s="359"/>
      <c r="L7" s="361"/>
      <c r="M7" s="361"/>
      <c r="N7" s="361"/>
      <c r="O7" s="361"/>
      <c r="P7" s="361"/>
      <c r="Q7" s="361"/>
      <c r="R7" s="361"/>
      <c r="S7" s="361"/>
      <c r="T7" s="361"/>
      <c r="U7" s="361"/>
      <c r="V7" s="361">
        <v>0</v>
      </c>
      <c r="W7" s="143"/>
      <c r="X7" s="144">
        <f t="shared" si="2"/>
        <v>0</v>
      </c>
    </row>
    <row r="8" spans="1:24" ht="15.75" customHeight="1">
      <c r="A8" s="128"/>
      <c r="B8" s="129" t="s">
        <v>311</v>
      </c>
      <c r="C8" s="292">
        <v>0</v>
      </c>
      <c r="D8" s="351">
        <v>0</v>
      </c>
      <c r="E8" s="358">
        <v>86720</v>
      </c>
      <c r="F8" s="358">
        <v>0</v>
      </c>
      <c r="G8" s="147">
        <f t="shared" si="0"/>
        <v>0</v>
      </c>
      <c r="H8" s="148"/>
      <c r="I8" s="601"/>
      <c r="J8" s="148"/>
      <c r="K8" s="359"/>
      <c r="L8" s="361"/>
      <c r="M8" s="361"/>
      <c r="N8" s="361"/>
      <c r="O8" s="361"/>
      <c r="P8" s="361"/>
      <c r="Q8" s="361"/>
      <c r="R8" s="361"/>
      <c r="S8" s="361"/>
      <c r="T8" s="361"/>
      <c r="U8" s="361"/>
      <c r="V8" s="361">
        <v>0</v>
      </c>
      <c r="W8" s="143"/>
      <c r="X8" s="144">
        <f t="shared" si="2"/>
        <v>0</v>
      </c>
    </row>
    <row r="9" spans="1:24" ht="15.75" customHeight="1">
      <c r="A9" s="128"/>
      <c r="B9" s="129" t="s">
        <v>136</v>
      </c>
      <c r="C9" s="292">
        <f>160858</f>
        <v>160858</v>
      </c>
      <c r="D9" s="351">
        <v>160858</v>
      </c>
      <c r="E9" s="358">
        <v>157436</v>
      </c>
      <c r="F9" s="358">
        <f>78718*2</f>
        <v>157436</v>
      </c>
      <c r="G9" s="147">
        <f t="shared" si="0"/>
        <v>-3422</v>
      </c>
      <c r="H9" s="148"/>
      <c r="I9" s="601"/>
      <c r="J9" s="148"/>
      <c r="K9" s="359">
        <v>0</v>
      </c>
      <c r="L9" s="361">
        <v>0</v>
      </c>
      <c r="M9" s="361">
        <v>0</v>
      </c>
      <c r="N9" s="361">
        <v>0</v>
      </c>
      <c r="O9" s="361">
        <v>78718</v>
      </c>
      <c r="P9" s="361">
        <v>0</v>
      </c>
      <c r="Q9" s="361">
        <v>0</v>
      </c>
      <c r="R9" s="361">
        <v>0</v>
      </c>
      <c r="S9" s="361">
        <v>78718</v>
      </c>
      <c r="T9" s="361">
        <v>0</v>
      </c>
      <c r="U9" s="361">
        <v>0</v>
      </c>
      <c r="V9" s="361">
        <v>0</v>
      </c>
      <c r="W9" s="300"/>
      <c r="X9" s="144">
        <f t="shared" si="2"/>
        <v>157436</v>
      </c>
    </row>
    <row r="10" spans="1:24" ht="15.75" customHeight="1">
      <c r="A10" s="128"/>
      <c r="B10" s="129" t="s">
        <v>137</v>
      </c>
      <c r="C10" s="292">
        <v>0</v>
      </c>
      <c r="D10" s="351">
        <v>0</v>
      </c>
      <c r="E10" s="358">
        <v>91124.84</v>
      </c>
      <c r="F10" s="358">
        <f>45000*2</f>
        <v>90000</v>
      </c>
      <c r="G10" s="147">
        <f t="shared" si="0"/>
        <v>90000</v>
      </c>
      <c r="H10" s="148"/>
      <c r="I10" s="601" t="s">
        <v>312</v>
      </c>
      <c r="J10" s="148"/>
      <c r="K10" s="359"/>
      <c r="L10" s="361"/>
      <c r="M10" s="361"/>
      <c r="N10" s="361"/>
      <c r="O10" s="361">
        <v>45000</v>
      </c>
      <c r="P10" s="361"/>
      <c r="Q10" s="361"/>
      <c r="R10" s="361"/>
      <c r="S10" s="361">
        <v>45000</v>
      </c>
      <c r="T10" s="361"/>
      <c r="U10" s="361"/>
      <c r="V10" s="361"/>
      <c r="W10" s="143"/>
      <c r="X10" s="144">
        <f t="shared" si="2"/>
        <v>90000</v>
      </c>
    </row>
    <row r="11" spans="1:24" ht="15.75" customHeight="1">
      <c r="A11" s="128"/>
      <c r="B11" s="129" t="s">
        <v>139</v>
      </c>
      <c r="C11" s="292">
        <v>775220</v>
      </c>
      <c r="D11" s="351">
        <v>451492.02</v>
      </c>
      <c r="E11" s="358">
        <v>165141</v>
      </c>
      <c r="F11" s="358">
        <v>0</v>
      </c>
      <c r="G11" s="147">
        <f t="shared" si="0"/>
        <v>-775220</v>
      </c>
      <c r="H11" s="148"/>
      <c r="I11" s="601" t="s">
        <v>313</v>
      </c>
      <c r="J11" s="148"/>
      <c r="K11" s="359">
        <v>0</v>
      </c>
      <c r="L11" s="361">
        <v>0</v>
      </c>
      <c r="M11" s="361">
        <v>0</v>
      </c>
      <c r="N11" s="361">
        <v>0</v>
      </c>
      <c r="O11" s="361">
        <v>0</v>
      </c>
      <c r="P11" s="361">
        <v>0</v>
      </c>
      <c r="Q11" s="361">
        <v>0</v>
      </c>
      <c r="R11" s="361">
        <v>0</v>
      </c>
      <c r="S11" s="361">
        <v>0</v>
      </c>
      <c r="T11" s="361">
        <v>0</v>
      </c>
      <c r="U11" s="361">
        <v>0</v>
      </c>
      <c r="V11" s="361">
        <v>0</v>
      </c>
      <c r="W11" s="143"/>
      <c r="X11" s="144">
        <f t="shared" si="2"/>
        <v>0</v>
      </c>
    </row>
    <row r="12" spans="1:24" ht="15.75" customHeight="1">
      <c r="A12" s="129"/>
      <c r="B12" s="129" t="s">
        <v>151</v>
      </c>
      <c r="C12" s="292">
        <v>25000</v>
      </c>
      <c r="D12" s="210">
        <v>63978.1</v>
      </c>
      <c r="E12" s="67">
        <v>6000</v>
      </c>
      <c r="F12" s="67">
        <v>25000</v>
      </c>
      <c r="G12" s="147">
        <f t="shared" si="0"/>
        <v>0</v>
      </c>
      <c r="H12" s="249"/>
      <c r="I12" s="602"/>
      <c r="J12" s="249"/>
      <c r="K12" s="362"/>
      <c r="L12" s="319">
        <v>2500</v>
      </c>
      <c r="M12" s="319">
        <v>2500</v>
      </c>
      <c r="N12" s="319">
        <v>2500</v>
      </c>
      <c r="O12" s="319">
        <v>2500</v>
      </c>
      <c r="P12" s="319">
        <v>2500</v>
      </c>
      <c r="Q12" s="319">
        <v>2500</v>
      </c>
      <c r="R12" s="319">
        <v>2500</v>
      </c>
      <c r="S12" s="319">
        <v>2500</v>
      </c>
      <c r="T12" s="319">
        <v>2500</v>
      </c>
      <c r="U12" s="319">
        <v>2500</v>
      </c>
      <c r="V12" s="319">
        <v>0</v>
      </c>
      <c r="W12" s="301"/>
      <c r="X12" s="144">
        <f t="shared" si="2"/>
        <v>25000</v>
      </c>
    </row>
    <row r="13" spans="1:24" ht="28.5" customHeight="1">
      <c r="A13" s="129"/>
      <c r="B13" s="129" t="s">
        <v>152</v>
      </c>
      <c r="C13" s="292">
        <v>0</v>
      </c>
      <c r="D13" s="210">
        <f>10774.04+27860.23</f>
        <v>38634.270000000004</v>
      </c>
      <c r="E13" s="67">
        <v>1000</v>
      </c>
      <c r="F13" s="67">
        <v>20000</v>
      </c>
      <c r="G13" s="147">
        <f t="shared" si="0"/>
        <v>20000</v>
      </c>
      <c r="H13" s="249"/>
      <c r="I13" s="602" t="s">
        <v>314</v>
      </c>
      <c r="J13" s="249"/>
      <c r="K13" s="363">
        <f t="shared" ref="K13:V13" si="3">$F$13/12</f>
        <v>1666.6666666666667</v>
      </c>
      <c r="L13" s="363">
        <f t="shared" si="3"/>
        <v>1666.6666666666667</v>
      </c>
      <c r="M13" s="363">
        <f t="shared" si="3"/>
        <v>1666.6666666666667</v>
      </c>
      <c r="N13" s="363">
        <f t="shared" si="3"/>
        <v>1666.6666666666667</v>
      </c>
      <c r="O13" s="363">
        <f t="shared" si="3"/>
        <v>1666.6666666666667</v>
      </c>
      <c r="P13" s="363">
        <f t="shared" si="3"/>
        <v>1666.6666666666667</v>
      </c>
      <c r="Q13" s="363">
        <f t="shared" si="3"/>
        <v>1666.6666666666667</v>
      </c>
      <c r="R13" s="363">
        <f t="shared" si="3"/>
        <v>1666.6666666666667</v>
      </c>
      <c r="S13" s="363">
        <f t="shared" si="3"/>
        <v>1666.6666666666667</v>
      </c>
      <c r="T13" s="363">
        <f t="shared" si="3"/>
        <v>1666.6666666666667</v>
      </c>
      <c r="U13" s="363">
        <f t="shared" si="3"/>
        <v>1666.6666666666667</v>
      </c>
      <c r="V13" s="363">
        <f t="shared" si="3"/>
        <v>1666.6666666666667</v>
      </c>
      <c r="W13" s="301"/>
      <c r="X13" s="144">
        <f t="shared" si="2"/>
        <v>20000</v>
      </c>
    </row>
    <row r="14" spans="1:24" ht="15.75" customHeight="1">
      <c r="A14" s="128" t="s">
        <v>153</v>
      </c>
      <c r="B14" s="128"/>
      <c r="C14" s="302">
        <f t="shared" ref="C14:G14" si="4">SUM(C6:C13)</f>
        <v>13479644</v>
      </c>
      <c r="D14" s="303">
        <f t="shared" si="4"/>
        <v>8172009.9699999988</v>
      </c>
      <c r="E14" s="303">
        <f t="shared" si="4"/>
        <v>8321149.0899999999</v>
      </c>
      <c r="F14" s="303">
        <f t="shared" si="4"/>
        <v>15266008.324999999</v>
      </c>
      <c r="G14" s="303">
        <f t="shared" si="4"/>
        <v>1786364.3249999993</v>
      </c>
      <c r="H14" s="192"/>
      <c r="I14" s="608"/>
      <c r="J14" s="192"/>
      <c r="K14" s="279">
        <f t="shared" ref="K14:V14" si="5">SUM(K6:K13)</f>
        <v>1666.6666666666667</v>
      </c>
      <c r="L14" s="279">
        <f t="shared" si="5"/>
        <v>1501523.8991666667</v>
      </c>
      <c r="M14" s="279">
        <f t="shared" si="5"/>
        <v>1501523.8991666667</v>
      </c>
      <c r="N14" s="279">
        <f t="shared" si="5"/>
        <v>1501523.8991666667</v>
      </c>
      <c r="O14" s="279">
        <f t="shared" si="5"/>
        <v>1625241.8991666667</v>
      </c>
      <c r="P14" s="279">
        <f t="shared" si="5"/>
        <v>1501523.8991666667</v>
      </c>
      <c r="Q14" s="279">
        <f t="shared" si="5"/>
        <v>1501523.8991666667</v>
      </c>
      <c r="R14" s="279">
        <f t="shared" si="5"/>
        <v>1501523.8991666667</v>
      </c>
      <c r="S14" s="279">
        <f t="shared" si="5"/>
        <v>1625241.8991666667</v>
      </c>
      <c r="T14" s="279">
        <f t="shared" si="5"/>
        <v>1501523.8991666667</v>
      </c>
      <c r="U14" s="279">
        <f t="shared" si="5"/>
        <v>1501523.8991666667</v>
      </c>
      <c r="V14" s="279">
        <f t="shared" si="5"/>
        <v>1666.6666666666667</v>
      </c>
      <c r="W14" s="300"/>
      <c r="X14" s="144">
        <f t="shared" si="2"/>
        <v>15266008.324999997</v>
      </c>
    </row>
    <row r="15" spans="1:24" ht="15.75" customHeight="1">
      <c r="A15" s="128"/>
      <c r="B15" s="129"/>
      <c r="C15" s="292"/>
      <c r="D15" s="198"/>
      <c r="E15" s="198"/>
      <c r="F15" s="198"/>
      <c r="G15" s="198"/>
      <c r="H15" s="198"/>
      <c r="I15" s="600"/>
      <c r="J15" s="198"/>
      <c r="K15" s="198"/>
      <c r="L15" s="295"/>
      <c r="M15" s="295"/>
      <c r="N15" s="295"/>
      <c r="O15" s="295"/>
      <c r="P15" s="295"/>
      <c r="Q15" s="295"/>
      <c r="R15" s="295"/>
      <c r="S15" s="295"/>
      <c r="T15" s="295"/>
      <c r="U15" s="295"/>
      <c r="V15" s="295"/>
      <c r="W15" s="198"/>
      <c r="X15" s="304"/>
    </row>
    <row r="16" spans="1:24" ht="37.5" customHeight="1">
      <c r="A16" s="128" t="s">
        <v>154</v>
      </c>
      <c r="B16" s="129"/>
      <c r="C16" s="137" t="s">
        <v>127</v>
      </c>
      <c r="D16" s="140" t="s">
        <v>128</v>
      </c>
      <c r="E16" s="140" t="s">
        <v>129</v>
      </c>
      <c r="F16" s="140" t="s">
        <v>130</v>
      </c>
      <c r="G16" s="140" t="s">
        <v>131</v>
      </c>
      <c r="H16" s="305"/>
      <c r="I16" s="609"/>
      <c r="J16" s="141"/>
      <c r="K16" s="142">
        <v>45474</v>
      </c>
      <c r="L16" s="142">
        <v>45505</v>
      </c>
      <c r="M16" s="142">
        <v>45536</v>
      </c>
      <c r="N16" s="142">
        <v>45566</v>
      </c>
      <c r="O16" s="142">
        <v>45597</v>
      </c>
      <c r="P16" s="142">
        <v>45627</v>
      </c>
      <c r="Q16" s="142">
        <v>45658</v>
      </c>
      <c r="R16" s="142">
        <v>45689</v>
      </c>
      <c r="S16" s="142">
        <v>45717</v>
      </c>
      <c r="T16" s="142">
        <v>45748</v>
      </c>
      <c r="U16" s="142">
        <v>45778</v>
      </c>
      <c r="V16" s="307">
        <v>45809</v>
      </c>
      <c r="W16" s="308"/>
      <c r="X16" s="309" t="s">
        <v>132</v>
      </c>
    </row>
    <row r="17" spans="1:24" ht="15.75" customHeight="1">
      <c r="A17" s="128"/>
      <c r="B17" s="128" t="s">
        <v>315</v>
      </c>
      <c r="C17" s="310">
        <f t="shared" ref="C17:F17" si="6">C18+SUM(C21:C29)</f>
        <v>11683774</v>
      </c>
      <c r="D17" s="310">
        <f t="shared" si="6"/>
        <v>6244735.9100000001</v>
      </c>
      <c r="E17" s="310">
        <f t="shared" si="6"/>
        <v>6914333</v>
      </c>
      <c r="F17" s="310">
        <f t="shared" si="6"/>
        <v>13279933.267999999</v>
      </c>
      <c r="G17" s="311">
        <f t="shared" ref="G17:G60" si="7">F17-C17</f>
        <v>1596159.2679999992</v>
      </c>
      <c r="H17" s="312"/>
      <c r="I17" s="603"/>
      <c r="J17" s="219"/>
      <c r="K17" s="365">
        <f t="shared" ref="K17:V17" si="8">K18+SUM(K21:K29)</f>
        <v>1084111.1056666668</v>
      </c>
      <c r="L17" s="365">
        <f t="shared" si="8"/>
        <v>1096831.1056666668</v>
      </c>
      <c r="M17" s="365">
        <f t="shared" si="8"/>
        <v>1240331.1056666668</v>
      </c>
      <c r="N17" s="365">
        <f t="shared" si="8"/>
        <v>1096831.1056666668</v>
      </c>
      <c r="O17" s="365">
        <f t="shared" si="8"/>
        <v>1096831.1056666668</v>
      </c>
      <c r="P17" s="365">
        <f t="shared" si="8"/>
        <v>1096831.1056666668</v>
      </c>
      <c r="Q17" s="365">
        <f t="shared" si="8"/>
        <v>1096831.1056666668</v>
      </c>
      <c r="R17" s="365">
        <f t="shared" si="8"/>
        <v>1096831.1056666668</v>
      </c>
      <c r="S17" s="365">
        <f t="shared" si="8"/>
        <v>1096831.1056666668</v>
      </c>
      <c r="T17" s="365">
        <f t="shared" si="8"/>
        <v>1096831.1056666668</v>
      </c>
      <c r="U17" s="365">
        <f t="shared" si="8"/>
        <v>1096831.1056666668</v>
      </c>
      <c r="V17" s="365">
        <f t="shared" si="8"/>
        <v>1084011.1056666668</v>
      </c>
      <c r="W17" s="143"/>
      <c r="X17" s="365">
        <f>X18+SUM(X21:X29)</f>
        <v>13279933.267999999</v>
      </c>
    </row>
    <row r="18" spans="1:24" ht="15.75" customHeight="1">
      <c r="A18" s="129"/>
      <c r="B18" s="129" t="s">
        <v>155</v>
      </c>
      <c r="C18" s="366">
        <f t="shared" ref="C18:F18" si="9">SUM(C19:C20)</f>
        <v>8231938</v>
      </c>
      <c r="D18" s="366">
        <f t="shared" si="9"/>
        <v>4173547.8300000005</v>
      </c>
      <c r="E18" s="366">
        <f t="shared" si="9"/>
        <v>5000000</v>
      </c>
      <c r="F18" s="366">
        <f t="shared" si="9"/>
        <v>9205912</v>
      </c>
      <c r="G18" s="367">
        <f t="shared" si="7"/>
        <v>973974</v>
      </c>
      <c r="H18" s="368"/>
      <c r="I18" s="602"/>
      <c r="J18" s="211"/>
      <c r="K18" s="369">
        <f t="shared" ref="K18:V18" si="10">SUM(K19:K20)</f>
        <v>762909.33333333337</v>
      </c>
      <c r="L18" s="369">
        <f t="shared" si="10"/>
        <v>768009.33333333337</v>
      </c>
      <c r="M18" s="369">
        <f t="shared" si="10"/>
        <v>768009.33333333337</v>
      </c>
      <c r="N18" s="369">
        <f t="shared" si="10"/>
        <v>768009.33333333337</v>
      </c>
      <c r="O18" s="369">
        <f t="shared" si="10"/>
        <v>768009.33333333337</v>
      </c>
      <c r="P18" s="369">
        <f t="shared" si="10"/>
        <v>768009.33333333337</v>
      </c>
      <c r="Q18" s="369">
        <f t="shared" si="10"/>
        <v>768009.33333333337</v>
      </c>
      <c r="R18" s="369">
        <f t="shared" si="10"/>
        <v>768009.33333333337</v>
      </c>
      <c r="S18" s="369">
        <f t="shared" si="10"/>
        <v>768009.33333333337</v>
      </c>
      <c r="T18" s="369">
        <f t="shared" si="10"/>
        <v>768009.33333333337</v>
      </c>
      <c r="U18" s="369">
        <f t="shared" si="10"/>
        <v>768009.33333333337</v>
      </c>
      <c r="V18" s="369">
        <f t="shared" si="10"/>
        <v>762909.33333333337</v>
      </c>
      <c r="W18" s="370"/>
      <c r="X18" s="371">
        <f>SUM(X19:X20)</f>
        <v>9205912</v>
      </c>
    </row>
    <row r="19" spans="1:24" ht="15" customHeight="1">
      <c r="A19" s="129"/>
      <c r="B19" s="129" t="s">
        <v>316</v>
      </c>
      <c r="C19" s="166">
        <f>8223938+8000</f>
        <v>8231938</v>
      </c>
      <c r="D19" s="351">
        <v>4173547.8300000005</v>
      </c>
      <c r="E19" s="67">
        <v>5000000</v>
      </c>
      <c r="F19" s="372">
        <v>9154912</v>
      </c>
      <c r="G19" s="314">
        <f t="shared" si="7"/>
        <v>922974</v>
      </c>
      <c r="H19" s="368"/>
      <c r="I19" s="602" t="s">
        <v>317</v>
      </c>
      <c r="J19" s="211"/>
      <c r="K19" s="373">
        <f t="shared" ref="K19:V19" si="11">$F$19/12</f>
        <v>762909.33333333337</v>
      </c>
      <c r="L19" s="373">
        <f t="shared" si="11"/>
        <v>762909.33333333337</v>
      </c>
      <c r="M19" s="373">
        <f t="shared" si="11"/>
        <v>762909.33333333337</v>
      </c>
      <c r="N19" s="373">
        <f t="shared" si="11"/>
        <v>762909.33333333337</v>
      </c>
      <c r="O19" s="373">
        <f t="shared" si="11"/>
        <v>762909.33333333337</v>
      </c>
      <c r="P19" s="373">
        <f t="shared" si="11"/>
        <v>762909.33333333337</v>
      </c>
      <c r="Q19" s="373">
        <f t="shared" si="11"/>
        <v>762909.33333333337</v>
      </c>
      <c r="R19" s="373">
        <f t="shared" si="11"/>
        <v>762909.33333333337</v>
      </c>
      <c r="S19" s="373">
        <f t="shared" si="11"/>
        <v>762909.33333333337</v>
      </c>
      <c r="T19" s="373">
        <f t="shared" si="11"/>
        <v>762909.33333333337</v>
      </c>
      <c r="U19" s="373">
        <f t="shared" si="11"/>
        <v>762909.33333333337</v>
      </c>
      <c r="V19" s="373">
        <f t="shared" si="11"/>
        <v>762909.33333333337</v>
      </c>
      <c r="W19" s="370"/>
      <c r="X19" s="374">
        <f t="shared" ref="X19:X30" si="12">SUM(K19:V19)</f>
        <v>9154912</v>
      </c>
    </row>
    <row r="20" spans="1:24" ht="15" customHeight="1">
      <c r="A20" s="129"/>
      <c r="B20" s="129" t="s">
        <v>318</v>
      </c>
      <c r="C20" s="166">
        <v>0</v>
      </c>
      <c r="D20" s="351">
        <v>0</v>
      </c>
      <c r="E20" s="67">
        <v>0</v>
      </c>
      <c r="F20" s="67">
        <v>51000</v>
      </c>
      <c r="G20" s="314">
        <f t="shared" si="7"/>
        <v>51000</v>
      </c>
      <c r="H20" s="368"/>
      <c r="I20" s="602" t="s">
        <v>319</v>
      </c>
      <c r="J20" s="211"/>
      <c r="K20" s="318">
        <v>0</v>
      </c>
      <c r="L20" s="319">
        <f t="shared" ref="L20:U20" si="13">$F$20/10</f>
        <v>5100</v>
      </c>
      <c r="M20" s="319">
        <f t="shared" si="13"/>
        <v>5100</v>
      </c>
      <c r="N20" s="319">
        <f t="shared" si="13"/>
        <v>5100</v>
      </c>
      <c r="O20" s="319">
        <f t="shared" si="13"/>
        <v>5100</v>
      </c>
      <c r="P20" s="319">
        <f t="shared" si="13"/>
        <v>5100</v>
      </c>
      <c r="Q20" s="319">
        <f t="shared" si="13"/>
        <v>5100</v>
      </c>
      <c r="R20" s="319">
        <f t="shared" si="13"/>
        <v>5100</v>
      </c>
      <c r="S20" s="319">
        <f t="shared" si="13"/>
        <v>5100</v>
      </c>
      <c r="T20" s="319">
        <f t="shared" si="13"/>
        <v>5100</v>
      </c>
      <c r="U20" s="319">
        <f t="shared" si="13"/>
        <v>5100</v>
      </c>
      <c r="V20" s="319">
        <v>0</v>
      </c>
      <c r="W20" s="370"/>
      <c r="X20" s="374">
        <f t="shared" si="12"/>
        <v>51000</v>
      </c>
    </row>
    <row r="21" spans="1:24" ht="15" customHeight="1">
      <c r="A21" s="129"/>
      <c r="B21" s="129" t="s">
        <v>320</v>
      </c>
      <c r="C21" s="166">
        <v>0</v>
      </c>
      <c r="D21" s="351">
        <v>170000</v>
      </c>
      <c r="E21" s="67">
        <v>0</v>
      </c>
      <c r="F21" s="67">
        <v>143500</v>
      </c>
      <c r="G21" s="314">
        <f t="shared" si="7"/>
        <v>143500</v>
      </c>
      <c r="H21" s="368"/>
      <c r="I21" s="602" t="s">
        <v>321</v>
      </c>
      <c r="J21" s="211"/>
      <c r="K21" s="318">
        <v>0</v>
      </c>
      <c r="L21" s="319">
        <v>0</v>
      </c>
      <c r="M21" s="319">
        <v>143500</v>
      </c>
      <c r="N21" s="319">
        <v>0</v>
      </c>
      <c r="O21" s="319">
        <v>0</v>
      </c>
      <c r="P21" s="319">
        <v>0</v>
      </c>
      <c r="Q21" s="319">
        <v>0</v>
      </c>
      <c r="R21" s="319">
        <v>0</v>
      </c>
      <c r="S21" s="319">
        <v>0</v>
      </c>
      <c r="T21" s="319">
        <v>0</v>
      </c>
      <c r="U21" s="319">
        <v>0</v>
      </c>
      <c r="V21" s="319">
        <v>0</v>
      </c>
      <c r="W21" s="370"/>
      <c r="X21" s="374">
        <f t="shared" si="12"/>
        <v>143500</v>
      </c>
    </row>
    <row r="22" spans="1:24" ht="15.75" customHeight="1">
      <c r="A22" s="129"/>
      <c r="B22" s="129" t="s">
        <v>322</v>
      </c>
      <c r="C22" s="166">
        <v>0</v>
      </c>
      <c r="D22" s="351">
        <v>129500</v>
      </c>
      <c r="E22" s="67">
        <v>129500</v>
      </c>
      <c r="F22" s="372">
        <v>0</v>
      </c>
      <c r="G22" s="314">
        <f t="shared" si="7"/>
        <v>0</v>
      </c>
      <c r="H22" s="368"/>
      <c r="I22" s="603"/>
      <c r="J22" s="211"/>
      <c r="K22" s="373">
        <v>0</v>
      </c>
      <c r="L22" s="376">
        <v>0</v>
      </c>
      <c r="M22" s="376">
        <v>0</v>
      </c>
      <c r="N22" s="376">
        <v>0</v>
      </c>
      <c r="O22" s="376">
        <v>0</v>
      </c>
      <c r="P22" s="376">
        <v>0</v>
      </c>
      <c r="Q22" s="376">
        <v>0</v>
      </c>
      <c r="R22" s="376">
        <v>0</v>
      </c>
      <c r="S22" s="376">
        <v>0</v>
      </c>
      <c r="T22" s="376">
        <v>0</v>
      </c>
      <c r="U22" s="376">
        <v>0</v>
      </c>
      <c r="V22" s="376">
        <v>0</v>
      </c>
      <c r="W22" s="370"/>
      <c r="X22" s="374">
        <f t="shared" si="12"/>
        <v>0</v>
      </c>
    </row>
    <row r="23" spans="1:24" ht="15.75" customHeight="1">
      <c r="A23" s="129"/>
      <c r="B23" s="129" t="s">
        <v>323</v>
      </c>
      <c r="C23" s="166">
        <v>19200</v>
      </c>
      <c r="D23" s="351">
        <v>8250</v>
      </c>
      <c r="E23" s="67">
        <v>7800</v>
      </c>
      <c r="F23" s="67">
        <v>15500</v>
      </c>
      <c r="G23" s="314">
        <f t="shared" si="7"/>
        <v>-3700</v>
      </c>
      <c r="H23" s="368"/>
      <c r="I23" s="602" t="s">
        <v>324</v>
      </c>
      <c r="J23" s="211"/>
      <c r="K23" s="318">
        <v>1300</v>
      </c>
      <c r="L23" s="319">
        <v>1300</v>
      </c>
      <c r="M23" s="319">
        <v>1300</v>
      </c>
      <c r="N23" s="319">
        <v>1300</v>
      </c>
      <c r="O23" s="319">
        <v>1300</v>
      </c>
      <c r="P23" s="319">
        <v>1300</v>
      </c>
      <c r="Q23" s="319">
        <v>1300</v>
      </c>
      <c r="R23" s="319">
        <v>1300</v>
      </c>
      <c r="S23" s="319">
        <v>1300</v>
      </c>
      <c r="T23" s="319">
        <v>1300</v>
      </c>
      <c r="U23" s="319">
        <v>1300</v>
      </c>
      <c r="V23" s="319">
        <v>1200</v>
      </c>
      <c r="W23" s="370"/>
      <c r="X23" s="374">
        <f t="shared" si="12"/>
        <v>15500</v>
      </c>
    </row>
    <row r="24" spans="1:24" ht="15.75" customHeight="1">
      <c r="A24" s="129"/>
      <c r="B24" s="129" t="s">
        <v>325</v>
      </c>
      <c r="C24" s="166">
        <v>0</v>
      </c>
      <c r="D24" s="351">
        <v>42374.979999999996</v>
      </c>
      <c r="E24" s="67">
        <v>25000</v>
      </c>
      <c r="F24" s="67">
        <v>36000</v>
      </c>
      <c r="G24" s="314">
        <f t="shared" si="7"/>
        <v>36000</v>
      </c>
      <c r="H24" s="368"/>
      <c r="I24" s="602" t="s">
        <v>326</v>
      </c>
      <c r="J24" s="211"/>
      <c r="K24" s="318">
        <v>0</v>
      </c>
      <c r="L24" s="319">
        <f t="shared" ref="L24:U24" si="14">$F$24/10</f>
        <v>3600</v>
      </c>
      <c r="M24" s="319">
        <f t="shared" si="14"/>
        <v>3600</v>
      </c>
      <c r="N24" s="319">
        <f t="shared" si="14"/>
        <v>3600</v>
      </c>
      <c r="O24" s="319">
        <f t="shared" si="14"/>
        <v>3600</v>
      </c>
      <c r="P24" s="319">
        <f t="shared" si="14"/>
        <v>3600</v>
      </c>
      <c r="Q24" s="319">
        <f t="shared" si="14"/>
        <v>3600</v>
      </c>
      <c r="R24" s="319">
        <f t="shared" si="14"/>
        <v>3600</v>
      </c>
      <c r="S24" s="319">
        <f t="shared" si="14"/>
        <v>3600</v>
      </c>
      <c r="T24" s="319">
        <f t="shared" si="14"/>
        <v>3600</v>
      </c>
      <c r="U24" s="319">
        <f t="shared" si="14"/>
        <v>3600</v>
      </c>
      <c r="V24" s="319">
        <v>0</v>
      </c>
      <c r="W24" s="370"/>
      <c r="X24" s="374">
        <f t="shared" si="12"/>
        <v>36000</v>
      </c>
    </row>
    <row r="25" spans="1:24" ht="15.75" customHeight="1">
      <c r="A25" s="129"/>
      <c r="B25" s="129" t="s">
        <v>168</v>
      </c>
      <c r="C25" s="166">
        <v>38400</v>
      </c>
      <c r="D25" s="351">
        <v>6102.18</v>
      </c>
      <c r="E25" s="67">
        <v>32298</v>
      </c>
      <c r="F25" s="67">
        <v>40200</v>
      </c>
      <c r="G25" s="314">
        <f t="shared" si="7"/>
        <v>1800</v>
      </c>
      <c r="H25" s="368"/>
      <c r="I25" s="602" t="s">
        <v>327</v>
      </c>
      <c r="J25" s="211"/>
      <c r="K25" s="377" t="s">
        <v>5</v>
      </c>
      <c r="L25" s="319">
        <v>4020</v>
      </c>
      <c r="M25" s="319">
        <v>4020</v>
      </c>
      <c r="N25" s="319">
        <v>4020</v>
      </c>
      <c r="O25" s="319">
        <v>4020</v>
      </c>
      <c r="P25" s="319">
        <v>4020</v>
      </c>
      <c r="Q25" s="319">
        <v>4020</v>
      </c>
      <c r="R25" s="319">
        <v>4020</v>
      </c>
      <c r="S25" s="319">
        <v>4020</v>
      </c>
      <c r="T25" s="319">
        <v>4020</v>
      </c>
      <c r="U25" s="319">
        <v>4020</v>
      </c>
      <c r="V25" s="319" t="s">
        <v>5</v>
      </c>
      <c r="W25" s="370"/>
      <c r="X25" s="374">
        <f t="shared" si="12"/>
        <v>40200</v>
      </c>
    </row>
    <row r="26" spans="1:24" ht="15.75" customHeight="1">
      <c r="A26" s="129"/>
      <c r="B26" s="129" t="s">
        <v>328</v>
      </c>
      <c r="C26" s="166">
        <v>629131</v>
      </c>
      <c r="D26" s="351">
        <v>355475.75000000006</v>
      </c>
      <c r="E26" s="67">
        <v>273655</v>
      </c>
      <c r="F26" s="372">
        <f>F18*0.0765</f>
        <v>704252.26800000004</v>
      </c>
      <c r="G26" s="314">
        <f t="shared" si="7"/>
        <v>75121.26800000004</v>
      </c>
      <c r="H26" s="368"/>
      <c r="I26" s="602" t="s">
        <v>329</v>
      </c>
      <c r="J26" s="211"/>
      <c r="K26" s="373">
        <f t="shared" ref="K26:V26" si="15">$F$26/12</f>
        <v>58687.689000000006</v>
      </c>
      <c r="L26" s="373">
        <f t="shared" si="15"/>
        <v>58687.689000000006</v>
      </c>
      <c r="M26" s="373">
        <f t="shared" si="15"/>
        <v>58687.689000000006</v>
      </c>
      <c r="N26" s="373">
        <f t="shared" si="15"/>
        <v>58687.689000000006</v>
      </c>
      <c r="O26" s="373">
        <f t="shared" si="15"/>
        <v>58687.689000000006</v>
      </c>
      <c r="P26" s="373">
        <f t="shared" si="15"/>
        <v>58687.689000000006</v>
      </c>
      <c r="Q26" s="373">
        <f t="shared" si="15"/>
        <v>58687.689000000006</v>
      </c>
      <c r="R26" s="373">
        <f t="shared" si="15"/>
        <v>58687.689000000006</v>
      </c>
      <c r="S26" s="373">
        <f t="shared" si="15"/>
        <v>58687.689000000006</v>
      </c>
      <c r="T26" s="373">
        <f t="shared" si="15"/>
        <v>58687.689000000006</v>
      </c>
      <c r="U26" s="373">
        <f t="shared" si="15"/>
        <v>58687.689000000006</v>
      </c>
      <c r="V26" s="373">
        <f t="shared" si="15"/>
        <v>58687.689000000006</v>
      </c>
      <c r="W26" s="370"/>
      <c r="X26" s="374">
        <f t="shared" si="12"/>
        <v>704252.26800000004</v>
      </c>
    </row>
    <row r="27" spans="1:24" ht="15.75" customHeight="1">
      <c r="A27" s="129"/>
      <c r="B27" s="129" t="s">
        <v>330</v>
      </c>
      <c r="C27" s="166">
        <v>27500</v>
      </c>
      <c r="D27" s="351">
        <v>22327</v>
      </c>
      <c r="E27" s="67">
        <v>22327</v>
      </c>
      <c r="F27" s="67">
        <f>2771*12</f>
        <v>33252</v>
      </c>
      <c r="G27" s="314">
        <f t="shared" si="7"/>
        <v>5752</v>
      </c>
      <c r="H27" s="368"/>
      <c r="I27" s="602" t="s">
        <v>331</v>
      </c>
      <c r="J27" s="211"/>
      <c r="K27" s="318">
        <f t="shared" ref="K27:V27" si="16">$F$27/12</f>
        <v>2771</v>
      </c>
      <c r="L27" s="318">
        <f t="shared" si="16"/>
        <v>2771</v>
      </c>
      <c r="M27" s="318">
        <f t="shared" si="16"/>
        <v>2771</v>
      </c>
      <c r="N27" s="318">
        <f t="shared" si="16"/>
        <v>2771</v>
      </c>
      <c r="O27" s="318">
        <f t="shared" si="16"/>
        <v>2771</v>
      </c>
      <c r="P27" s="318">
        <f t="shared" si="16"/>
        <v>2771</v>
      </c>
      <c r="Q27" s="318">
        <f t="shared" si="16"/>
        <v>2771</v>
      </c>
      <c r="R27" s="318">
        <f t="shared" si="16"/>
        <v>2771</v>
      </c>
      <c r="S27" s="318">
        <f t="shared" si="16"/>
        <v>2771</v>
      </c>
      <c r="T27" s="318">
        <f t="shared" si="16"/>
        <v>2771</v>
      </c>
      <c r="U27" s="318">
        <f t="shared" si="16"/>
        <v>2771</v>
      </c>
      <c r="V27" s="318">
        <f t="shared" si="16"/>
        <v>2771</v>
      </c>
      <c r="W27" s="370"/>
      <c r="X27" s="374">
        <f t="shared" si="12"/>
        <v>33252</v>
      </c>
    </row>
    <row r="28" spans="1:24" ht="15.75" customHeight="1">
      <c r="A28" s="129"/>
      <c r="B28" s="129" t="s">
        <v>332</v>
      </c>
      <c r="C28" s="166">
        <v>1572645</v>
      </c>
      <c r="D28" s="351">
        <v>748892.1399999999</v>
      </c>
      <c r="E28" s="67">
        <v>823753</v>
      </c>
      <c r="F28" s="372">
        <v>1832817</v>
      </c>
      <c r="G28" s="314">
        <f t="shared" si="7"/>
        <v>260172</v>
      </c>
      <c r="H28" s="368"/>
      <c r="I28" s="602" t="s">
        <v>333</v>
      </c>
      <c r="J28" s="211"/>
      <c r="K28" s="373">
        <f t="shared" ref="K28:V28" si="17">$F$28/12</f>
        <v>152734.75</v>
      </c>
      <c r="L28" s="373">
        <f t="shared" si="17"/>
        <v>152734.75</v>
      </c>
      <c r="M28" s="373">
        <f t="shared" si="17"/>
        <v>152734.75</v>
      </c>
      <c r="N28" s="373">
        <f t="shared" si="17"/>
        <v>152734.75</v>
      </c>
      <c r="O28" s="373">
        <f t="shared" si="17"/>
        <v>152734.75</v>
      </c>
      <c r="P28" s="373">
        <f t="shared" si="17"/>
        <v>152734.75</v>
      </c>
      <c r="Q28" s="373">
        <f t="shared" si="17"/>
        <v>152734.75</v>
      </c>
      <c r="R28" s="373">
        <f t="shared" si="17"/>
        <v>152734.75</v>
      </c>
      <c r="S28" s="373">
        <f t="shared" si="17"/>
        <v>152734.75</v>
      </c>
      <c r="T28" s="373">
        <f t="shared" si="17"/>
        <v>152734.75</v>
      </c>
      <c r="U28" s="373">
        <f t="shared" si="17"/>
        <v>152734.75</v>
      </c>
      <c r="V28" s="373">
        <f t="shared" si="17"/>
        <v>152734.75</v>
      </c>
      <c r="W28" s="370"/>
      <c r="X28" s="374">
        <f t="shared" si="12"/>
        <v>1832817</v>
      </c>
    </row>
    <row r="29" spans="1:24" ht="15.75" customHeight="1">
      <c r="A29" s="129"/>
      <c r="B29" s="129" t="s">
        <v>172</v>
      </c>
      <c r="C29" s="166">
        <v>1164960</v>
      </c>
      <c r="D29" s="351">
        <v>588266.03</v>
      </c>
      <c r="E29" s="67">
        <v>600000</v>
      </c>
      <c r="F29" s="67">
        <f>1250000+15000+3500</f>
        <v>1268500</v>
      </c>
      <c r="G29" s="314">
        <f t="shared" si="7"/>
        <v>103540</v>
      </c>
      <c r="H29" s="368"/>
      <c r="I29" s="602" t="s">
        <v>334</v>
      </c>
      <c r="J29" s="211"/>
      <c r="K29" s="318">
        <f t="shared" ref="K29:V29" si="18">$F$29/12</f>
        <v>105708.33333333333</v>
      </c>
      <c r="L29" s="318">
        <f t="shared" si="18"/>
        <v>105708.33333333333</v>
      </c>
      <c r="M29" s="318">
        <f t="shared" si="18"/>
        <v>105708.33333333333</v>
      </c>
      <c r="N29" s="318">
        <f t="shared" si="18"/>
        <v>105708.33333333333</v>
      </c>
      <c r="O29" s="318">
        <f t="shared" si="18"/>
        <v>105708.33333333333</v>
      </c>
      <c r="P29" s="318">
        <f t="shared" si="18"/>
        <v>105708.33333333333</v>
      </c>
      <c r="Q29" s="318">
        <f t="shared" si="18"/>
        <v>105708.33333333333</v>
      </c>
      <c r="R29" s="318">
        <f t="shared" si="18"/>
        <v>105708.33333333333</v>
      </c>
      <c r="S29" s="318">
        <f t="shared" si="18"/>
        <v>105708.33333333333</v>
      </c>
      <c r="T29" s="318">
        <f t="shared" si="18"/>
        <v>105708.33333333333</v>
      </c>
      <c r="U29" s="318">
        <f t="shared" si="18"/>
        <v>105708.33333333333</v>
      </c>
      <c r="V29" s="318">
        <f t="shared" si="18"/>
        <v>105708.33333333333</v>
      </c>
      <c r="W29" s="370"/>
      <c r="X29" s="374">
        <f t="shared" si="12"/>
        <v>1268500</v>
      </c>
    </row>
    <row r="30" spans="1:24" ht="15.75" customHeight="1">
      <c r="A30" s="128"/>
      <c r="B30" s="128" t="s">
        <v>45</v>
      </c>
      <c r="C30" s="378">
        <v>2000</v>
      </c>
      <c r="D30" s="314">
        <v>22831.039999999997</v>
      </c>
      <c r="E30" s="64">
        <v>2000</v>
      </c>
      <c r="F30" s="64">
        <v>2000</v>
      </c>
      <c r="G30" s="314">
        <f t="shared" si="7"/>
        <v>0</v>
      </c>
      <c r="H30" s="312"/>
      <c r="I30" s="602"/>
      <c r="J30" s="219"/>
      <c r="K30" s="379">
        <v>0</v>
      </c>
      <c r="L30" s="380">
        <v>0</v>
      </c>
      <c r="M30" s="380">
        <v>500</v>
      </c>
      <c r="O30" s="380">
        <v>0</v>
      </c>
      <c r="P30" s="380">
        <v>500</v>
      </c>
      <c r="Q30" s="380">
        <v>0</v>
      </c>
      <c r="R30" s="380">
        <v>0</v>
      </c>
      <c r="S30" s="380">
        <v>500</v>
      </c>
      <c r="T30" s="380">
        <v>0</v>
      </c>
      <c r="U30" s="380">
        <v>500</v>
      </c>
      <c r="V30" s="380">
        <v>0</v>
      </c>
      <c r="W30" s="143"/>
      <c r="X30" s="309">
        <f t="shared" si="12"/>
        <v>2000</v>
      </c>
    </row>
    <row r="31" spans="1:24" ht="15.75" customHeight="1">
      <c r="A31" s="128"/>
      <c r="B31" s="232" t="s">
        <v>173</v>
      </c>
      <c r="C31" s="310">
        <f t="shared" ref="C31:F31" si="19">SUM(C32:C33)</f>
        <v>0</v>
      </c>
      <c r="D31" s="310">
        <f t="shared" si="19"/>
        <v>28387.399999999998</v>
      </c>
      <c r="E31" s="310">
        <f t="shared" si="19"/>
        <v>0</v>
      </c>
      <c r="F31" s="310">
        <f t="shared" si="19"/>
        <v>0</v>
      </c>
      <c r="G31" s="311">
        <f t="shared" si="7"/>
        <v>0</v>
      </c>
      <c r="H31" s="312"/>
      <c r="I31" s="603"/>
      <c r="J31" s="219"/>
      <c r="K31" s="225">
        <f t="shared" ref="K31:V31" si="20">SUM(K32:K33)</f>
        <v>0</v>
      </c>
      <c r="L31" s="225">
        <f t="shared" si="20"/>
        <v>0</v>
      </c>
      <c r="M31" s="225">
        <f t="shared" si="20"/>
        <v>0</v>
      </c>
      <c r="N31" s="225">
        <f t="shared" si="20"/>
        <v>0</v>
      </c>
      <c r="O31" s="225">
        <f t="shared" si="20"/>
        <v>0</v>
      </c>
      <c r="P31" s="225">
        <f t="shared" si="20"/>
        <v>0</v>
      </c>
      <c r="Q31" s="225">
        <f t="shared" si="20"/>
        <v>0</v>
      </c>
      <c r="R31" s="225">
        <f t="shared" si="20"/>
        <v>0</v>
      </c>
      <c r="S31" s="225">
        <f t="shared" si="20"/>
        <v>0</v>
      </c>
      <c r="T31" s="225">
        <f t="shared" si="20"/>
        <v>0</v>
      </c>
      <c r="U31" s="225">
        <f t="shared" si="20"/>
        <v>0</v>
      </c>
      <c r="V31" s="225">
        <f t="shared" si="20"/>
        <v>0</v>
      </c>
      <c r="W31" s="143"/>
      <c r="X31" s="225">
        <f>SUM(X32:X33)</f>
        <v>0</v>
      </c>
    </row>
    <row r="32" spans="1:24" ht="15.75" customHeight="1">
      <c r="A32" s="128"/>
      <c r="B32" s="128" t="s">
        <v>335</v>
      </c>
      <c r="C32" s="166">
        <v>0</v>
      </c>
      <c r="D32" s="351">
        <v>28271.42</v>
      </c>
      <c r="E32" s="351"/>
      <c r="F32" s="351"/>
      <c r="G32" s="314">
        <f t="shared" si="7"/>
        <v>0</v>
      </c>
      <c r="H32" s="368"/>
      <c r="I32" s="603"/>
      <c r="J32" s="211"/>
      <c r="K32" s="212">
        <v>0</v>
      </c>
      <c r="L32" s="381">
        <v>0</v>
      </c>
      <c r="M32" s="381">
        <v>0</v>
      </c>
      <c r="N32" s="381">
        <v>0</v>
      </c>
      <c r="O32" s="381">
        <v>0</v>
      </c>
      <c r="P32" s="381">
        <v>0</v>
      </c>
      <c r="Q32" s="381">
        <v>0</v>
      </c>
      <c r="R32" s="381">
        <v>0</v>
      </c>
      <c r="S32" s="381">
        <v>0</v>
      </c>
      <c r="T32" s="381">
        <v>0</v>
      </c>
      <c r="U32" s="381">
        <v>0</v>
      </c>
      <c r="V32" s="381">
        <v>0</v>
      </c>
      <c r="W32" s="143"/>
      <c r="X32" s="309">
        <f t="shared" ref="X32:X33" si="21">SUM(K31:V32)</f>
        <v>0</v>
      </c>
    </row>
    <row r="33" spans="1:24" ht="15.75" customHeight="1">
      <c r="A33" s="128"/>
      <c r="B33" s="129" t="s">
        <v>336</v>
      </c>
      <c r="C33" s="166">
        <v>0</v>
      </c>
      <c r="D33" s="351">
        <v>115.98</v>
      </c>
      <c r="E33" s="351"/>
      <c r="F33" s="351"/>
      <c r="G33" s="314">
        <f t="shared" si="7"/>
        <v>0</v>
      </c>
      <c r="H33" s="368"/>
      <c r="I33" s="603"/>
      <c r="J33" s="211"/>
      <c r="K33" s="212">
        <v>0</v>
      </c>
      <c r="L33" s="381">
        <v>0</v>
      </c>
      <c r="M33" s="381">
        <v>0</v>
      </c>
      <c r="N33" s="381">
        <v>0</v>
      </c>
      <c r="O33" s="381">
        <v>0</v>
      </c>
      <c r="P33" s="381">
        <v>0</v>
      </c>
      <c r="Q33" s="381">
        <v>0</v>
      </c>
      <c r="R33" s="381">
        <v>0</v>
      </c>
      <c r="S33" s="381">
        <v>0</v>
      </c>
      <c r="T33" s="381">
        <v>0</v>
      </c>
      <c r="U33" s="381">
        <v>0</v>
      </c>
      <c r="V33" s="381">
        <v>0</v>
      </c>
      <c r="W33" s="143"/>
      <c r="X33" s="309">
        <f t="shared" si="21"/>
        <v>0</v>
      </c>
    </row>
    <row r="34" spans="1:24" ht="15.75" customHeight="1">
      <c r="A34" s="128"/>
      <c r="B34" s="128" t="s">
        <v>245</v>
      </c>
      <c r="C34" s="310">
        <f t="shared" ref="C34:F34" si="22">SUM(C35:C38)</f>
        <v>53000</v>
      </c>
      <c r="D34" s="310">
        <f t="shared" si="22"/>
        <v>118196.63</v>
      </c>
      <c r="E34" s="310">
        <f t="shared" si="22"/>
        <v>12249</v>
      </c>
      <c r="F34" s="310">
        <f t="shared" si="22"/>
        <v>93000</v>
      </c>
      <c r="G34" s="311">
        <f t="shared" si="7"/>
        <v>40000</v>
      </c>
      <c r="H34" s="312"/>
      <c r="I34" s="603"/>
      <c r="J34" s="219"/>
      <c r="K34" s="225">
        <f>SUM(K35:K37)</f>
        <v>2000</v>
      </c>
      <c r="L34" s="225">
        <f t="shared" ref="L34:V34" si="23">SUM(L35:L38)</f>
        <v>2500</v>
      </c>
      <c r="M34" s="225">
        <f t="shared" si="23"/>
        <v>7500</v>
      </c>
      <c r="N34" s="225">
        <f t="shared" si="23"/>
        <v>26000</v>
      </c>
      <c r="O34" s="225">
        <f t="shared" si="23"/>
        <v>7000</v>
      </c>
      <c r="P34" s="225">
        <f t="shared" si="23"/>
        <v>7000</v>
      </c>
      <c r="Q34" s="225">
        <f t="shared" si="23"/>
        <v>7000</v>
      </c>
      <c r="R34" s="225">
        <f t="shared" si="23"/>
        <v>7000</v>
      </c>
      <c r="S34" s="225">
        <f t="shared" si="23"/>
        <v>2000</v>
      </c>
      <c r="T34" s="225">
        <f t="shared" si="23"/>
        <v>21000</v>
      </c>
      <c r="U34" s="225">
        <f t="shared" si="23"/>
        <v>2000</v>
      </c>
      <c r="V34" s="225">
        <f t="shared" si="23"/>
        <v>2000</v>
      </c>
      <c r="W34" s="143"/>
      <c r="X34" s="225">
        <f>SUM(X35:X38)</f>
        <v>93000</v>
      </c>
    </row>
    <row r="35" spans="1:24" ht="15.75" customHeight="1">
      <c r="A35" s="128"/>
      <c r="B35" s="132" t="s">
        <v>248</v>
      </c>
      <c r="C35" s="166">
        <v>3000</v>
      </c>
      <c r="D35" s="67">
        <v>12996.93</v>
      </c>
      <c r="E35" s="67">
        <v>3000</v>
      </c>
      <c r="F35" s="67">
        <v>12000</v>
      </c>
      <c r="G35" s="314">
        <f t="shared" si="7"/>
        <v>9000</v>
      </c>
      <c r="H35" s="315"/>
      <c r="I35" s="602" t="s">
        <v>337</v>
      </c>
      <c r="J35" s="317"/>
      <c r="K35" s="318">
        <v>1000</v>
      </c>
      <c r="L35" s="318">
        <v>1000</v>
      </c>
      <c r="M35" s="318">
        <v>1000</v>
      </c>
      <c r="N35" s="318">
        <v>1000</v>
      </c>
      <c r="O35" s="318">
        <v>1000</v>
      </c>
      <c r="P35" s="318">
        <v>1000</v>
      </c>
      <c r="Q35" s="318">
        <v>1000</v>
      </c>
      <c r="R35" s="318">
        <v>1000</v>
      </c>
      <c r="S35" s="318">
        <v>1000</v>
      </c>
      <c r="T35" s="318">
        <v>1000</v>
      </c>
      <c r="U35" s="318">
        <v>1000</v>
      </c>
      <c r="V35" s="318">
        <v>1000</v>
      </c>
      <c r="W35" s="143"/>
      <c r="X35" s="309">
        <f t="shared" ref="X35:X38" si="24">SUM(K35:V35)</f>
        <v>12000</v>
      </c>
    </row>
    <row r="36" spans="1:24" ht="15.75" customHeight="1">
      <c r="A36" s="128"/>
      <c r="B36" s="132" t="s">
        <v>246</v>
      </c>
      <c r="C36" s="166">
        <v>10000</v>
      </c>
      <c r="D36" s="67">
        <v>935</v>
      </c>
      <c r="E36" s="67">
        <v>0</v>
      </c>
      <c r="F36" s="67">
        <v>1000</v>
      </c>
      <c r="G36" s="314">
        <f t="shared" si="7"/>
        <v>-9000</v>
      </c>
      <c r="H36" s="315"/>
      <c r="I36" s="602" t="s">
        <v>338</v>
      </c>
      <c r="J36" s="317"/>
      <c r="K36" s="362"/>
      <c r="L36" s="319">
        <v>500</v>
      </c>
      <c r="M36" s="319">
        <v>500</v>
      </c>
      <c r="N36" s="382"/>
      <c r="O36" s="382"/>
      <c r="P36" s="382"/>
      <c r="Q36" s="382"/>
      <c r="R36" s="382"/>
      <c r="S36" s="382"/>
      <c r="T36" s="382"/>
      <c r="U36" s="382"/>
      <c r="V36" s="382"/>
      <c r="W36" s="143"/>
      <c r="X36" s="309">
        <f t="shared" si="24"/>
        <v>1000</v>
      </c>
    </row>
    <row r="37" spans="1:24" ht="24.75" customHeight="1">
      <c r="A37" s="128"/>
      <c r="B37" s="132" t="s">
        <v>247</v>
      </c>
      <c r="C37" s="166">
        <v>40000</v>
      </c>
      <c r="D37" s="67">
        <v>49540</v>
      </c>
      <c r="E37" s="67">
        <v>0</v>
      </c>
      <c r="F37" s="67">
        <v>50000</v>
      </c>
      <c r="G37" s="314">
        <f t="shared" si="7"/>
        <v>10000</v>
      </c>
      <c r="H37" s="315"/>
      <c r="I37" s="602" t="s">
        <v>339</v>
      </c>
      <c r="J37" s="317"/>
      <c r="K37" s="318">
        <v>1000</v>
      </c>
      <c r="L37" s="319">
        <v>1000</v>
      </c>
      <c r="M37" s="319">
        <v>1000</v>
      </c>
      <c r="N37" s="319">
        <v>20000</v>
      </c>
      <c r="O37" s="319">
        <v>1000</v>
      </c>
      <c r="P37" s="319">
        <v>1000</v>
      </c>
      <c r="Q37" s="319">
        <v>1000</v>
      </c>
      <c r="R37" s="319">
        <v>1000</v>
      </c>
      <c r="S37" s="319">
        <v>1000</v>
      </c>
      <c r="T37" s="319">
        <v>20000</v>
      </c>
      <c r="U37" s="319">
        <v>1000</v>
      </c>
      <c r="V37" s="319">
        <v>1000</v>
      </c>
      <c r="W37" s="143"/>
      <c r="X37" s="309">
        <f t="shared" si="24"/>
        <v>50000</v>
      </c>
    </row>
    <row r="38" spans="1:24" ht="27" customHeight="1">
      <c r="A38" s="132"/>
      <c r="B38" s="103" t="s">
        <v>250</v>
      </c>
      <c r="C38" s="166">
        <v>0</v>
      </c>
      <c r="D38" s="351">
        <v>54724.7</v>
      </c>
      <c r="E38" s="67">
        <f>3083*3</f>
        <v>9249</v>
      </c>
      <c r="F38" s="67">
        <v>30000</v>
      </c>
      <c r="G38" s="314">
        <f t="shared" si="7"/>
        <v>30000</v>
      </c>
      <c r="H38" s="368"/>
      <c r="I38" s="603"/>
      <c r="J38" s="211"/>
      <c r="K38" s="318">
        <v>0</v>
      </c>
      <c r="L38" s="319">
        <v>0</v>
      </c>
      <c r="M38" s="319">
        <v>5000</v>
      </c>
      <c r="N38" s="319">
        <v>5000</v>
      </c>
      <c r="O38" s="319">
        <v>5000</v>
      </c>
      <c r="P38" s="319">
        <v>5000</v>
      </c>
      <c r="Q38" s="319">
        <v>5000</v>
      </c>
      <c r="R38" s="319">
        <v>5000</v>
      </c>
      <c r="S38" s="319"/>
      <c r="T38" s="319"/>
      <c r="U38" s="319"/>
      <c r="V38" s="319">
        <v>0</v>
      </c>
      <c r="W38" s="370"/>
      <c r="X38" s="309">
        <f t="shared" si="24"/>
        <v>30000</v>
      </c>
    </row>
    <row r="39" spans="1:24" ht="15.75" customHeight="1">
      <c r="A39" s="232"/>
      <c r="B39" s="232" t="s">
        <v>299</v>
      </c>
      <c r="C39" s="310">
        <f t="shared" ref="C39:F39" si="25">SUM(C40:C55)</f>
        <v>238508</v>
      </c>
      <c r="D39" s="310">
        <f t="shared" si="25"/>
        <v>163912.64000000001</v>
      </c>
      <c r="E39" s="310">
        <f t="shared" si="25"/>
        <v>147462</v>
      </c>
      <c r="F39" s="310">
        <f t="shared" si="25"/>
        <v>272500</v>
      </c>
      <c r="G39" s="311">
        <f t="shared" si="7"/>
        <v>33992</v>
      </c>
      <c r="H39" s="312"/>
      <c r="I39" s="603"/>
      <c r="J39" s="219"/>
      <c r="K39" s="225">
        <f t="shared" ref="K39:V39" si="26">SUM(K40:K55)</f>
        <v>25865.666666666668</v>
      </c>
      <c r="L39" s="225">
        <f t="shared" si="26"/>
        <v>28815.666666666668</v>
      </c>
      <c r="M39" s="225">
        <f t="shared" si="26"/>
        <v>23190.666666666668</v>
      </c>
      <c r="N39" s="225">
        <f t="shared" si="26"/>
        <v>23190.666666666668</v>
      </c>
      <c r="O39" s="225">
        <f t="shared" si="26"/>
        <v>23190.666666666668</v>
      </c>
      <c r="P39" s="225">
        <f t="shared" si="26"/>
        <v>23190.666666666668</v>
      </c>
      <c r="Q39" s="225">
        <f t="shared" si="26"/>
        <v>23190.666666666668</v>
      </c>
      <c r="R39" s="225">
        <f t="shared" si="26"/>
        <v>23190.666666666668</v>
      </c>
      <c r="S39" s="225">
        <f t="shared" si="26"/>
        <v>23190.666666666668</v>
      </c>
      <c r="T39" s="225">
        <f t="shared" si="26"/>
        <v>23190.666666666668</v>
      </c>
      <c r="U39" s="225">
        <f t="shared" si="26"/>
        <v>17615.666666666668</v>
      </c>
      <c r="V39" s="225">
        <f t="shared" si="26"/>
        <v>14677.666666666668</v>
      </c>
      <c r="W39" s="143"/>
      <c r="X39" s="225">
        <f>SUM(X40:X55)</f>
        <v>272500</v>
      </c>
    </row>
    <row r="40" spans="1:24" ht="15.75" customHeight="1">
      <c r="A40" s="128"/>
      <c r="B40" s="132" t="s">
        <v>261</v>
      </c>
      <c r="C40" s="166">
        <v>0</v>
      </c>
      <c r="D40" s="67">
        <v>3401.0299999999997</v>
      </c>
      <c r="E40" s="67">
        <v>3000</v>
      </c>
      <c r="F40" s="67">
        <v>0</v>
      </c>
      <c r="G40" s="314">
        <f t="shared" si="7"/>
        <v>0</v>
      </c>
      <c r="H40" s="315"/>
      <c r="I40" s="602" t="s">
        <v>340</v>
      </c>
      <c r="J40" s="317"/>
      <c r="K40" s="373">
        <v>0</v>
      </c>
      <c r="L40" s="319">
        <v>0</v>
      </c>
      <c r="M40" s="319">
        <v>0</v>
      </c>
      <c r="N40" s="319">
        <v>0</v>
      </c>
      <c r="O40" s="319">
        <v>0</v>
      </c>
      <c r="P40" s="319">
        <v>0</v>
      </c>
      <c r="Q40" s="319">
        <v>0</v>
      </c>
      <c r="R40" s="319">
        <v>0</v>
      </c>
      <c r="S40" s="319">
        <v>0</v>
      </c>
      <c r="T40" s="319">
        <v>0</v>
      </c>
      <c r="U40" s="319">
        <v>0</v>
      </c>
      <c r="V40" s="319">
        <v>0</v>
      </c>
      <c r="W40" s="143"/>
      <c r="X40" s="309">
        <f t="shared" ref="X40:X55" si="27">SUM(K40:V40)</f>
        <v>0</v>
      </c>
    </row>
    <row r="41" spans="1:24" ht="15.75" customHeight="1">
      <c r="A41" s="128"/>
      <c r="B41" s="132" t="s">
        <v>255</v>
      </c>
      <c r="C41" s="166">
        <f>50000-2400</f>
        <v>47600</v>
      </c>
      <c r="D41" s="67">
        <v>52053.819999999992</v>
      </c>
      <c r="E41" s="67">
        <v>20000</v>
      </c>
      <c r="F41" s="67">
        <v>55000</v>
      </c>
      <c r="G41" s="314">
        <f t="shared" si="7"/>
        <v>7400</v>
      </c>
      <c r="H41" s="315"/>
      <c r="I41" s="602" t="s">
        <v>341</v>
      </c>
      <c r="J41" s="317"/>
      <c r="K41" s="318">
        <v>10000</v>
      </c>
      <c r="L41" s="319">
        <v>10000</v>
      </c>
      <c r="M41" s="319">
        <f t="shared" ref="M41:T41" si="28">50000/8-1875</f>
        <v>4375</v>
      </c>
      <c r="N41" s="319">
        <f t="shared" si="28"/>
        <v>4375</v>
      </c>
      <c r="O41" s="319">
        <f t="shared" si="28"/>
        <v>4375</v>
      </c>
      <c r="P41" s="319">
        <f t="shared" si="28"/>
        <v>4375</v>
      </c>
      <c r="Q41" s="319">
        <f t="shared" si="28"/>
        <v>4375</v>
      </c>
      <c r="R41" s="319">
        <f t="shared" si="28"/>
        <v>4375</v>
      </c>
      <c r="S41" s="319">
        <f t="shared" si="28"/>
        <v>4375</v>
      </c>
      <c r="T41" s="319">
        <f t="shared" si="28"/>
        <v>4375</v>
      </c>
      <c r="U41" s="382"/>
      <c r="V41" s="382"/>
      <c r="W41" s="143"/>
      <c r="X41" s="309">
        <f t="shared" si="27"/>
        <v>55000</v>
      </c>
    </row>
    <row r="42" spans="1:24" ht="15.75" customHeight="1">
      <c r="A42" s="128"/>
      <c r="B42" s="132" t="s">
        <v>254</v>
      </c>
      <c r="C42" s="166">
        <v>0</v>
      </c>
      <c r="D42" s="67">
        <v>3073.59</v>
      </c>
      <c r="E42" s="67">
        <v>3000</v>
      </c>
      <c r="F42" s="67">
        <v>6000</v>
      </c>
      <c r="G42" s="314">
        <f t="shared" si="7"/>
        <v>6000</v>
      </c>
      <c r="H42" s="315"/>
      <c r="I42" s="602" t="s">
        <v>342</v>
      </c>
      <c r="J42" s="317"/>
      <c r="K42" s="318">
        <f t="shared" ref="K42:V42" si="29">$F$42/12</f>
        <v>500</v>
      </c>
      <c r="L42" s="318">
        <f t="shared" si="29"/>
        <v>500</v>
      </c>
      <c r="M42" s="318">
        <f t="shared" si="29"/>
        <v>500</v>
      </c>
      <c r="N42" s="318">
        <f t="shared" si="29"/>
        <v>500</v>
      </c>
      <c r="O42" s="318">
        <f t="shared" si="29"/>
        <v>500</v>
      </c>
      <c r="P42" s="318">
        <f t="shared" si="29"/>
        <v>500</v>
      </c>
      <c r="Q42" s="318">
        <f t="shared" si="29"/>
        <v>500</v>
      </c>
      <c r="R42" s="318">
        <f t="shared" si="29"/>
        <v>500</v>
      </c>
      <c r="S42" s="318">
        <f t="shared" si="29"/>
        <v>500</v>
      </c>
      <c r="T42" s="318">
        <f t="shared" si="29"/>
        <v>500</v>
      </c>
      <c r="U42" s="318">
        <f t="shared" si="29"/>
        <v>500</v>
      </c>
      <c r="V42" s="318">
        <f t="shared" si="29"/>
        <v>500</v>
      </c>
      <c r="W42" s="143"/>
      <c r="X42" s="309">
        <f t="shared" si="27"/>
        <v>6000</v>
      </c>
    </row>
    <row r="43" spans="1:24" ht="15.75" customHeight="1">
      <c r="A43" s="128"/>
      <c r="B43" s="132" t="s">
        <v>265</v>
      </c>
      <c r="C43" s="166">
        <v>0</v>
      </c>
      <c r="D43" s="67">
        <v>1456</v>
      </c>
      <c r="E43" s="67">
        <v>3000</v>
      </c>
      <c r="F43" s="67">
        <v>5000</v>
      </c>
      <c r="G43" s="314">
        <f t="shared" si="7"/>
        <v>5000</v>
      </c>
      <c r="H43" s="315"/>
      <c r="I43" s="602" t="s">
        <v>342</v>
      </c>
      <c r="J43" s="317"/>
      <c r="K43" s="362"/>
      <c r="L43" s="319">
        <f t="shared" ref="L43:U43" si="30">$F$43/10</f>
        <v>500</v>
      </c>
      <c r="M43" s="319">
        <f t="shared" si="30"/>
        <v>500</v>
      </c>
      <c r="N43" s="319">
        <f t="shared" si="30"/>
        <v>500</v>
      </c>
      <c r="O43" s="319">
        <f t="shared" si="30"/>
        <v>500</v>
      </c>
      <c r="P43" s="319">
        <f t="shared" si="30"/>
        <v>500</v>
      </c>
      <c r="Q43" s="319">
        <f t="shared" si="30"/>
        <v>500</v>
      </c>
      <c r="R43" s="319">
        <f t="shared" si="30"/>
        <v>500</v>
      </c>
      <c r="S43" s="319">
        <f t="shared" si="30"/>
        <v>500</v>
      </c>
      <c r="T43" s="319">
        <f t="shared" si="30"/>
        <v>500</v>
      </c>
      <c r="U43" s="319">
        <f t="shared" si="30"/>
        <v>500</v>
      </c>
      <c r="V43" s="382"/>
      <c r="W43" s="143"/>
      <c r="X43" s="309">
        <f t="shared" si="27"/>
        <v>5000</v>
      </c>
    </row>
    <row r="44" spans="1:24" ht="15.75" customHeight="1">
      <c r="A44" s="128"/>
      <c r="B44" s="132" t="s">
        <v>257</v>
      </c>
      <c r="C44" s="166">
        <v>2000</v>
      </c>
      <c r="D44" s="67">
        <v>1197.45</v>
      </c>
      <c r="E44" s="67">
        <v>900</v>
      </c>
      <c r="F44" s="67">
        <v>0</v>
      </c>
      <c r="G44" s="314">
        <f t="shared" si="7"/>
        <v>-2000</v>
      </c>
      <c r="H44" s="315"/>
      <c r="I44" s="602" t="s">
        <v>343</v>
      </c>
      <c r="J44" s="317"/>
      <c r="K44" s="362"/>
      <c r="L44" s="319">
        <v>0</v>
      </c>
      <c r="M44" s="319">
        <v>0</v>
      </c>
      <c r="N44" s="319">
        <v>0</v>
      </c>
      <c r="O44" s="319">
        <v>0</v>
      </c>
      <c r="P44" s="319">
        <v>0</v>
      </c>
      <c r="Q44" s="319">
        <v>0</v>
      </c>
      <c r="R44" s="319">
        <v>0</v>
      </c>
      <c r="S44" s="319">
        <v>0</v>
      </c>
      <c r="T44" s="319">
        <v>0</v>
      </c>
      <c r="U44" s="319">
        <v>0</v>
      </c>
      <c r="V44" s="382"/>
      <c r="W44" s="143"/>
      <c r="X44" s="309">
        <f t="shared" si="27"/>
        <v>0</v>
      </c>
    </row>
    <row r="45" spans="1:24" ht="15.75" customHeight="1">
      <c r="A45" s="128"/>
      <c r="B45" s="132" t="s">
        <v>258</v>
      </c>
      <c r="C45" s="166">
        <f>109408-27500</f>
        <v>81908</v>
      </c>
      <c r="D45" s="351">
        <v>48364.62000000001</v>
      </c>
      <c r="E45" s="67">
        <v>48365</v>
      </c>
      <c r="F45" s="67">
        <v>100000</v>
      </c>
      <c r="G45" s="314">
        <f t="shared" si="7"/>
        <v>18092</v>
      </c>
      <c r="H45" s="368"/>
      <c r="I45" s="602" t="s">
        <v>344</v>
      </c>
      <c r="J45" s="211"/>
      <c r="K45" s="318">
        <v>8333</v>
      </c>
      <c r="L45" s="319">
        <v>8333</v>
      </c>
      <c r="M45" s="319">
        <v>8333</v>
      </c>
      <c r="N45" s="319">
        <v>8333</v>
      </c>
      <c r="O45" s="319">
        <v>8333</v>
      </c>
      <c r="P45" s="319">
        <v>8333</v>
      </c>
      <c r="Q45" s="319">
        <v>8333</v>
      </c>
      <c r="R45" s="319">
        <v>8333</v>
      </c>
      <c r="S45" s="319">
        <v>8333</v>
      </c>
      <c r="T45" s="319">
        <v>8333</v>
      </c>
      <c r="U45" s="319">
        <v>8333</v>
      </c>
      <c r="V45" s="319">
        <v>8337</v>
      </c>
      <c r="W45" s="143"/>
      <c r="X45" s="309">
        <f t="shared" si="27"/>
        <v>100000</v>
      </c>
    </row>
    <row r="46" spans="1:24" ht="16.5" customHeight="1">
      <c r="A46" s="128"/>
      <c r="B46" s="132" t="s">
        <v>259</v>
      </c>
      <c r="C46" s="166">
        <v>6000</v>
      </c>
      <c r="D46" s="67">
        <v>1110.28</v>
      </c>
      <c r="E46" s="67">
        <v>1500</v>
      </c>
      <c r="F46" s="67">
        <v>6000</v>
      </c>
      <c r="G46" s="314">
        <f t="shared" si="7"/>
        <v>0</v>
      </c>
      <c r="H46" s="315"/>
      <c r="I46" s="602" t="s">
        <v>345</v>
      </c>
      <c r="J46" s="317"/>
      <c r="K46" s="362"/>
      <c r="L46" s="319">
        <v>600</v>
      </c>
      <c r="M46" s="319">
        <v>600</v>
      </c>
      <c r="N46" s="319">
        <v>600</v>
      </c>
      <c r="O46" s="319">
        <v>600</v>
      </c>
      <c r="P46" s="319">
        <v>600</v>
      </c>
      <c r="Q46" s="319">
        <v>600</v>
      </c>
      <c r="R46" s="319">
        <v>600</v>
      </c>
      <c r="S46" s="319">
        <v>600</v>
      </c>
      <c r="T46" s="319">
        <v>600</v>
      </c>
      <c r="U46" s="319">
        <v>600</v>
      </c>
      <c r="V46" s="382"/>
      <c r="W46" s="143"/>
      <c r="X46" s="309">
        <f t="shared" si="27"/>
        <v>6000</v>
      </c>
    </row>
    <row r="47" spans="1:24" ht="15.75" customHeight="1">
      <c r="A47" s="128"/>
      <c r="B47" s="132" t="s">
        <v>252</v>
      </c>
      <c r="C47" s="166">
        <v>0</v>
      </c>
      <c r="D47" s="67">
        <v>5711.85</v>
      </c>
      <c r="E47" s="67">
        <v>5000</v>
      </c>
      <c r="F47" s="67">
        <v>12000</v>
      </c>
      <c r="G47" s="314">
        <f t="shared" si="7"/>
        <v>12000</v>
      </c>
      <c r="H47" s="315"/>
      <c r="I47" s="602" t="s">
        <v>346</v>
      </c>
      <c r="J47" s="317"/>
      <c r="K47" s="318">
        <v>1200</v>
      </c>
      <c r="L47" s="319">
        <v>1200</v>
      </c>
      <c r="M47" s="319">
        <v>1200</v>
      </c>
      <c r="N47" s="319">
        <v>1200</v>
      </c>
      <c r="O47" s="319">
        <v>1200</v>
      </c>
      <c r="P47" s="319">
        <v>1200</v>
      </c>
      <c r="Q47" s="319">
        <v>1200</v>
      </c>
      <c r="R47" s="319">
        <v>1200</v>
      </c>
      <c r="S47" s="319">
        <v>1200</v>
      </c>
      <c r="T47" s="319">
        <v>1200</v>
      </c>
      <c r="U47" s="382"/>
      <c r="V47" s="382"/>
      <c r="W47" s="143"/>
      <c r="X47" s="309">
        <f t="shared" si="27"/>
        <v>12000</v>
      </c>
    </row>
    <row r="48" spans="1:24" ht="15.75" customHeight="1">
      <c r="A48" s="128"/>
      <c r="B48" s="132" t="s">
        <v>347</v>
      </c>
      <c r="C48" s="166">
        <v>20000</v>
      </c>
      <c r="D48" s="67">
        <v>8133.98</v>
      </c>
      <c r="E48" s="67">
        <v>8000</v>
      </c>
      <c r="F48" s="67">
        <v>15000</v>
      </c>
      <c r="G48" s="314">
        <f t="shared" si="7"/>
        <v>-5000</v>
      </c>
      <c r="H48" s="315"/>
      <c r="I48" s="602" t="s">
        <v>345</v>
      </c>
      <c r="J48" s="317"/>
      <c r="K48" s="362"/>
      <c r="L48" s="319">
        <f t="shared" ref="L48:U48" si="31">$F$48/10</f>
        <v>1500</v>
      </c>
      <c r="M48" s="319">
        <f t="shared" si="31"/>
        <v>1500</v>
      </c>
      <c r="N48" s="319">
        <f t="shared" si="31"/>
        <v>1500</v>
      </c>
      <c r="O48" s="319">
        <f t="shared" si="31"/>
        <v>1500</v>
      </c>
      <c r="P48" s="319">
        <f t="shared" si="31"/>
        <v>1500</v>
      </c>
      <c r="Q48" s="319">
        <f t="shared" si="31"/>
        <v>1500</v>
      </c>
      <c r="R48" s="319">
        <f t="shared" si="31"/>
        <v>1500</v>
      </c>
      <c r="S48" s="319">
        <f t="shared" si="31"/>
        <v>1500</v>
      </c>
      <c r="T48" s="319">
        <f t="shared" si="31"/>
        <v>1500</v>
      </c>
      <c r="U48" s="319">
        <f t="shared" si="31"/>
        <v>1500</v>
      </c>
      <c r="V48" s="382"/>
      <c r="W48" s="143"/>
      <c r="X48" s="309">
        <f t="shared" si="27"/>
        <v>15000</v>
      </c>
    </row>
    <row r="49" spans="1:24" ht="15.75" customHeight="1">
      <c r="A49" s="128"/>
      <c r="B49" s="132" t="s">
        <v>272</v>
      </c>
      <c r="C49" s="166">
        <f>15000-2000</f>
        <v>13000</v>
      </c>
      <c r="D49" s="67">
        <v>8145.1199999999981</v>
      </c>
      <c r="E49" s="67">
        <v>11655</v>
      </c>
      <c r="F49" s="67">
        <v>0</v>
      </c>
      <c r="G49" s="314">
        <f t="shared" si="7"/>
        <v>-13000</v>
      </c>
      <c r="H49" s="315"/>
      <c r="I49" s="602" t="s">
        <v>343</v>
      </c>
      <c r="J49" s="317"/>
      <c r="K49" s="362"/>
      <c r="L49" s="319">
        <v>0</v>
      </c>
      <c r="M49" s="319">
        <v>0</v>
      </c>
      <c r="N49" s="319">
        <v>0</v>
      </c>
      <c r="O49" s="319">
        <v>0</v>
      </c>
      <c r="P49" s="319">
        <v>0</v>
      </c>
      <c r="Q49" s="319">
        <v>0</v>
      </c>
      <c r="R49" s="319">
        <v>0</v>
      </c>
      <c r="S49" s="319">
        <v>0</v>
      </c>
      <c r="T49" s="319">
        <v>0</v>
      </c>
      <c r="U49" s="319">
        <v>0</v>
      </c>
      <c r="V49" s="382"/>
      <c r="W49" s="143"/>
      <c r="X49" s="309">
        <f t="shared" si="27"/>
        <v>0</v>
      </c>
    </row>
    <row r="50" spans="1:24" ht="15.75" customHeight="1">
      <c r="A50" s="128"/>
      <c r="B50" s="129" t="s">
        <v>266</v>
      </c>
      <c r="C50" s="320">
        <v>58000</v>
      </c>
      <c r="D50" s="351">
        <v>34426.409999999996</v>
      </c>
      <c r="E50" s="67">
        <v>34426</v>
      </c>
      <c r="F50" s="67">
        <v>65000</v>
      </c>
      <c r="G50" s="314">
        <f t="shared" si="7"/>
        <v>7000</v>
      </c>
      <c r="H50" s="368"/>
      <c r="I50" s="602" t="s">
        <v>348</v>
      </c>
      <c r="J50" s="211"/>
      <c r="K50" s="318">
        <f t="shared" ref="K50:V50" si="32">$F$50/12</f>
        <v>5416.666666666667</v>
      </c>
      <c r="L50" s="318">
        <f t="shared" si="32"/>
        <v>5416.666666666667</v>
      </c>
      <c r="M50" s="318">
        <f t="shared" si="32"/>
        <v>5416.666666666667</v>
      </c>
      <c r="N50" s="318">
        <f t="shared" si="32"/>
        <v>5416.666666666667</v>
      </c>
      <c r="O50" s="318">
        <f t="shared" si="32"/>
        <v>5416.666666666667</v>
      </c>
      <c r="P50" s="318">
        <f t="shared" si="32"/>
        <v>5416.666666666667</v>
      </c>
      <c r="Q50" s="318">
        <f t="shared" si="32"/>
        <v>5416.666666666667</v>
      </c>
      <c r="R50" s="318">
        <f t="shared" si="32"/>
        <v>5416.666666666667</v>
      </c>
      <c r="S50" s="318">
        <f t="shared" si="32"/>
        <v>5416.666666666667</v>
      </c>
      <c r="T50" s="318">
        <f t="shared" si="32"/>
        <v>5416.666666666667</v>
      </c>
      <c r="U50" s="318">
        <f t="shared" si="32"/>
        <v>5416.666666666667</v>
      </c>
      <c r="V50" s="318">
        <f t="shared" si="32"/>
        <v>5416.666666666667</v>
      </c>
      <c r="W50" s="143"/>
      <c r="X50" s="309">
        <f t="shared" si="27"/>
        <v>64999.999999999993</v>
      </c>
    </row>
    <row r="51" spans="1:24" ht="15.75" customHeight="1">
      <c r="A51" s="128"/>
      <c r="B51" s="129" t="s">
        <v>269</v>
      </c>
      <c r="C51" s="320">
        <v>0</v>
      </c>
      <c r="D51" s="67">
        <v>103.59</v>
      </c>
      <c r="E51" s="67">
        <v>300</v>
      </c>
      <c r="F51" s="67">
        <v>1000</v>
      </c>
      <c r="G51" s="314">
        <f t="shared" si="7"/>
        <v>1000</v>
      </c>
      <c r="H51" s="315"/>
      <c r="I51" s="602" t="s">
        <v>342</v>
      </c>
      <c r="J51" s="317"/>
      <c r="K51" s="362"/>
      <c r="L51" s="319">
        <v>100</v>
      </c>
      <c r="M51" s="319">
        <v>100</v>
      </c>
      <c r="N51" s="319">
        <v>100</v>
      </c>
      <c r="O51" s="319">
        <v>100</v>
      </c>
      <c r="P51" s="319">
        <v>100</v>
      </c>
      <c r="Q51" s="319">
        <v>100</v>
      </c>
      <c r="R51" s="319">
        <v>100</v>
      </c>
      <c r="S51" s="319">
        <v>100</v>
      </c>
      <c r="T51" s="319">
        <v>100</v>
      </c>
      <c r="U51" s="319">
        <v>100</v>
      </c>
      <c r="V51" s="382"/>
      <c r="W51" s="143"/>
      <c r="X51" s="309">
        <f t="shared" si="27"/>
        <v>1000</v>
      </c>
    </row>
    <row r="52" spans="1:24" ht="15.75" customHeight="1">
      <c r="A52" s="128"/>
      <c r="B52" s="129" t="s">
        <v>256</v>
      </c>
      <c r="C52" s="320">
        <v>0</v>
      </c>
      <c r="D52" s="67">
        <v>5465.19</v>
      </c>
      <c r="E52" s="67">
        <v>5000</v>
      </c>
      <c r="F52" s="67">
        <v>0</v>
      </c>
      <c r="G52" s="314">
        <f t="shared" si="7"/>
        <v>0</v>
      </c>
      <c r="H52" s="315"/>
      <c r="I52" s="602" t="s">
        <v>349</v>
      </c>
      <c r="J52" s="317"/>
      <c r="K52" s="362"/>
      <c r="L52" s="319">
        <v>0</v>
      </c>
      <c r="M52" s="319">
        <v>0</v>
      </c>
      <c r="N52" s="319">
        <v>0</v>
      </c>
      <c r="O52" s="319">
        <v>0</v>
      </c>
      <c r="P52" s="319">
        <v>0</v>
      </c>
      <c r="Q52" s="319">
        <v>0</v>
      </c>
      <c r="R52" s="319">
        <v>0</v>
      </c>
      <c r="S52" s="319">
        <v>0</v>
      </c>
      <c r="T52" s="319">
        <v>0</v>
      </c>
      <c r="U52" s="319">
        <v>0</v>
      </c>
      <c r="V52" s="382"/>
      <c r="W52" s="143"/>
      <c r="X52" s="309">
        <f t="shared" si="27"/>
        <v>0</v>
      </c>
    </row>
    <row r="53" spans="1:24" ht="15.75" customHeight="1">
      <c r="A53" s="128"/>
      <c r="B53" s="129" t="s">
        <v>267</v>
      </c>
      <c r="C53" s="320">
        <v>5000</v>
      </c>
      <c r="D53" s="67">
        <v>934.42000000000007</v>
      </c>
      <c r="E53" s="67">
        <v>1000</v>
      </c>
      <c r="F53" s="67">
        <v>2500</v>
      </c>
      <c r="G53" s="314">
        <f t="shared" si="7"/>
        <v>-2500</v>
      </c>
      <c r="H53" s="315"/>
      <c r="I53" s="602" t="s">
        <v>350</v>
      </c>
      <c r="J53" s="317"/>
      <c r="K53" s="362"/>
      <c r="L53" s="319">
        <v>250</v>
      </c>
      <c r="M53" s="319">
        <v>250</v>
      </c>
      <c r="N53" s="319">
        <v>250</v>
      </c>
      <c r="O53" s="319">
        <v>250</v>
      </c>
      <c r="P53" s="319">
        <v>250</v>
      </c>
      <c r="Q53" s="319">
        <v>250</v>
      </c>
      <c r="R53" s="319">
        <v>250</v>
      </c>
      <c r="S53" s="319">
        <v>250</v>
      </c>
      <c r="T53" s="319">
        <v>250</v>
      </c>
      <c r="U53" s="319">
        <v>250</v>
      </c>
      <c r="V53" s="382"/>
      <c r="W53" s="143"/>
      <c r="X53" s="309">
        <f t="shared" si="27"/>
        <v>2500</v>
      </c>
    </row>
    <row r="54" spans="1:24" ht="15.75" customHeight="1">
      <c r="A54" s="129"/>
      <c r="B54" s="129" t="s">
        <v>274</v>
      </c>
      <c r="C54" s="320">
        <v>5000</v>
      </c>
      <c r="D54" s="351">
        <v>2316</v>
      </c>
      <c r="E54" s="67">
        <v>2316</v>
      </c>
      <c r="F54" s="67">
        <v>5000</v>
      </c>
      <c r="G54" s="314">
        <f t="shared" si="7"/>
        <v>0</v>
      </c>
      <c r="H54" s="368"/>
      <c r="I54" s="602" t="s">
        <v>345</v>
      </c>
      <c r="J54" s="211"/>
      <c r="K54" s="318">
        <v>416</v>
      </c>
      <c r="L54" s="319">
        <v>416</v>
      </c>
      <c r="M54" s="319">
        <v>416</v>
      </c>
      <c r="N54" s="319">
        <v>416</v>
      </c>
      <c r="O54" s="319">
        <v>416</v>
      </c>
      <c r="P54" s="319">
        <v>416</v>
      </c>
      <c r="Q54" s="319">
        <v>416</v>
      </c>
      <c r="R54" s="319">
        <v>416</v>
      </c>
      <c r="S54" s="319">
        <v>416</v>
      </c>
      <c r="T54" s="319">
        <v>416</v>
      </c>
      <c r="U54" s="319">
        <v>416</v>
      </c>
      <c r="V54" s="319">
        <v>424</v>
      </c>
      <c r="W54" s="143"/>
      <c r="X54" s="309">
        <f t="shared" si="27"/>
        <v>5000</v>
      </c>
    </row>
    <row r="55" spans="1:24" ht="15.75" customHeight="1">
      <c r="A55" s="129"/>
      <c r="B55" s="129" t="s">
        <v>351</v>
      </c>
      <c r="C55" s="320">
        <v>0</v>
      </c>
      <c r="D55" s="351">
        <v>-11980.71</v>
      </c>
      <c r="E55" s="67">
        <v>0</v>
      </c>
      <c r="F55" s="67">
        <v>0</v>
      </c>
      <c r="G55" s="314">
        <f t="shared" si="7"/>
        <v>0</v>
      </c>
      <c r="H55" s="368"/>
      <c r="I55" s="602" t="s">
        <v>5</v>
      </c>
      <c r="J55" s="211"/>
      <c r="K55" s="362"/>
      <c r="L55" s="382"/>
      <c r="M55" s="382"/>
      <c r="N55" s="382"/>
      <c r="O55" s="382"/>
      <c r="P55" s="382"/>
      <c r="Q55" s="382"/>
      <c r="R55" s="382"/>
      <c r="S55" s="382"/>
      <c r="T55" s="382"/>
      <c r="U55" s="382"/>
      <c r="V55" s="382"/>
      <c r="W55" s="370"/>
      <c r="X55" s="309">
        <f t="shared" si="27"/>
        <v>0</v>
      </c>
    </row>
    <row r="56" spans="1:24" ht="15.75" customHeight="1">
      <c r="A56" s="129"/>
      <c r="B56" s="128" t="s">
        <v>279</v>
      </c>
      <c r="C56" s="383">
        <f t="shared" ref="C56:F56" si="33">SUM(C57:C59)</f>
        <v>45000</v>
      </c>
      <c r="D56" s="383">
        <f t="shared" si="33"/>
        <v>30310.99</v>
      </c>
      <c r="E56" s="383">
        <f t="shared" si="33"/>
        <v>29980</v>
      </c>
      <c r="F56" s="383">
        <f t="shared" si="33"/>
        <v>60560</v>
      </c>
      <c r="G56" s="311">
        <f t="shared" si="7"/>
        <v>15560</v>
      </c>
      <c r="H56" s="312"/>
      <c r="I56" s="604" t="s">
        <v>5</v>
      </c>
      <c r="J56" s="219"/>
      <c r="K56" s="225">
        <f t="shared" ref="K56:N56" si="34">SUM(K57:K59)</f>
        <v>5630</v>
      </c>
      <c r="L56" s="225">
        <f t="shared" si="34"/>
        <v>5630</v>
      </c>
      <c r="M56" s="225">
        <f t="shared" si="34"/>
        <v>4930</v>
      </c>
      <c r="N56" s="225">
        <f t="shared" si="34"/>
        <v>4930</v>
      </c>
      <c r="O56" s="225">
        <f t="shared" ref="O56:V56" si="35">SUM(O57:O58)</f>
        <v>4630</v>
      </c>
      <c r="P56" s="225">
        <f t="shared" si="35"/>
        <v>4630</v>
      </c>
      <c r="Q56" s="225">
        <f t="shared" si="35"/>
        <v>4630</v>
      </c>
      <c r="R56" s="225">
        <f t="shared" si="35"/>
        <v>4630</v>
      </c>
      <c r="S56" s="225">
        <f t="shared" si="35"/>
        <v>4630</v>
      </c>
      <c r="T56" s="225">
        <f t="shared" si="35"/>
        <v>4630</v>
      </c>
      <c r="U56" s="225">
        <f t="shared" si="35"/>
        <v>4630</v>
      </c>
      <c r="V56" s="225">
        <f t="shared" si="35"/>
        <v>4630</v>
      </c>
      <c r="W56" s="143"/>
      <c r="X56" s="225">
        <f>SUM(X57:X59)</f>
        <v>60560</v>
      </c>
    </row>
    <row r="57" spans="1:24" ht="15.75" customHeight="1">
      <c r="A57" s="129"/>
      <c r="B57" s="129" t="s">
        <v>352</v>
      </c>
      <c r="C57" s="320">
        <v>20000</v>
      </c>
      <c r="D57" s="351">
        <v>10200</v>
      </c>
      <c r="E57" s="67">
        <v>10200</v>
      </c>
      <c r="F57" s="67">
        <f>1700*12</f>
        <v>20400</v>
      </c>
      <c r="G57" s="314">
        <f t="shared" si="7"/>
        <v>400</v>
      </c>
      <c r="H57" s="368"/>
      <c r="I57" s="602" t="s">
        <v>353</v>
      </c>
      <c r="J57" s="211"/>
      <c r="K57" s="318">
        <v>1700</v>
      </c>
      <c r="L57" s="319">
        <v>1700</v>
      </c>
      <c r="M57" s="319">
        <v>1700</v>
      </c>
      <c r="N57" s="319">
        <v>1700</v>
      </c>
      <c r="O57" s="319">
        <v>1700</v>
      </c>
      <c r="P57" s="319">
        <v>1700</v>
      </c>
      <c r="Q57" s="319">
        <v>1700</v>
      </c>
      <c r="R57" s="319">
        <v>1700</v>
      </c>
      <c r="S57" s="319">
        <v>1700</v>
      </c>
      <c r="T57" s="319">
        <v>1700</v>
      </c>
      <c r="U57" s="319">
        <v>1700</v>
      </c>
      <c r="V57" s="319">
        <v>1700</v>
      </c>
      <c r="W57" s="370"/>
      <c r="X57" s="374">
        <f t="shared" ref="X57:X60" si="36">SUM(K57:V57)</f>
        <v>20400</v>
      </c>
    </row>
    <row r="58" spans="1:24" ht="15.75" customHeight="1">
      <c r="A58" s="129"/>
      <c r="B58" s="129" t="s">
        <v>354</v>
      </c>
      <c r="C58" s="320">
        <v>25000</v>
      </c>
      <c r="D58" s="351">
        <v>17911.27</v>
      </c>
      <c r="E58" s="67">
        <v>17580</v>
      </c>
      <c r="F58" s="67">
        <v>35160</v>
      </c>
      <c r="G58" s="314">
        <f t="shared" si="7"/>
        <v>10160</v>
      </c>
      <c r="H58" s="368"/>
      <c r="I58" s="602" t="s">
        <v>353</v>
      </c>
      <c r="J58" s="211"/>
      <c r="K58" s="318">
        <v>2930</v>
      </c>
      <c r="L58" s="319">
        <v>2930</v>
      </c>
      <c r="M58" s="319">
        <v>2930</v>
      </c>
      <c r="N58" s="319">
        <v>2930</v>
      </c>
      <c r="O58" s="319">
        <v>2930</v>
      </c>
      <c r="P58" s="319">
        <v>2930</v>
      </c>
      <c r="Q58" s="319">
        <v>2930</v>
      </c>
      <c r="R58" s="319">
        <v>2930</v>
      </c>
      <c r="S58" s="319">
        <v>2930</v>
      </c>
      <c r="T58" s="319">
        <v>2930</v>
      </c>
      <c r="U58" s="319">
        <v>2930</v>
      </c>
      <c r="V58" s="319">
        <v>2930</v>
      </c>
      <c r="W58" s="370"/>
      <c r="X58" s="374">
        <f t="shared" si="36"/>
        <v>35160</v>
      </c>
    </row>
    <row r="59" spans="1:24" ht="15.75" customHeight="1">
      <c r="A59" s="129"/>
      <c r="B59" s="129" t="s">
        <v>355</v>
      </c>
      <c r="C59" s="320">
        <v>0</v>
      </c>
      <c r="D59" s="351">
        <v>2199.7199999999998</v>
      </c>
      <c r="E59" s="67">
        <v>2200</v>
      </c>
      <c r="F59" s="67">
        <v>5000</v>
      </c>
      <c r="G59" s="314">
        <f t="shared" si="7"/>
        <v>5000</v>
      </c>
      <c r="H59" s="368"/>
      <c r="I59" s="602" t="s">
        <v>342</v>
      </c>
      <c r="J59" s="211"/>
      <c r="K59" s="318">
        <v>1000</v>
      </c>
      <c r="L59" s="319">
        <v>1000</v>
      </c>
      <c r="M59" s="319">
        <v>300</v>
      </c>
      <c r="N59" s="319">
        <v>300</v>
      </c>
      <c r="O59" s="319">
        <v>300</v>
      </c>
      <c r="P59" s="319">
        <v>300</v>
      </c>
      <c r="Q59" s="319">
        <v>300</v>
      </c>
      <c r="R59" s="319">
        <v>300</v>
      </c>
      <c r="S59" s="319">
        <v>300</v>
      </c>
      <c r="T59" s="319">
        <v>300</v>
      </c>
      <c r="U59" s="319">
        <v>300</v>
      </c>
      <c r="V59" s="319">
        <v>300</v>
      </c>
      <c r="W59" s="370"/>
      <c r="X59" s="374">
        <f t="shared" si="36"/>
        <v>5000</v>
      </c>
    </row>
    <row r="60" spans="1:24" ht="15.75" customHeight="1">
      <c r="A60" s="128"/>
      <c r="B60" s="128" t="s">
        <v>99</v>
      </c>
      <c r="C60" s="384">
        <v>0</v>
      </c>
      <c r="D60" s="314">
        <v>8491</v>
      </c>
      <c r="E60" s="64">
        <v>8500</v>
      </c>
      <c r="F60" s="64">
        <v>20000</v>
      </c>
      <c r="G60" s="314">
        <f t="shared" si="7"/>
        <v>20000</v>
      </c>
      <c r="H60" s="312"/>
      <c r="I60" s="602" t="s">
        <v>356</v>
      </c>
      <c r="J60" s="219"/>
      <c r="K60" s="362"/>
      <c r="L60" s="385">
        <v>2000</v>
      </c>
      <c r="M60" s="385">
        <v>2000</v>
      </c>
      <c r="N60" s="385">
        <v>2000</v>
      </c>
      <c r="O60" s="385">
        <v>2000</v>
      </c>
      <c r="P60" s="385">
        <v>2000</v>
      </c>
      <c r="Q60" s="385">
        <v>2000</v>
      </c>
      <c r="R60" s="385">
        <v>2000</v>
      </c>
      <c r="S60" s="385">
        <v>2000</v>
      </c>
      <c r="T60" s="385">
        <v>2000</v>
      </c>
      <c r="U60" s="385">
        <v>2000</v>
      </c>
      <c r="V60" s="382"/>
      <c r="W60" s="143"/>
      <c r="X60" s="374">
        <f t="shared" si="36"/>
        <v>20000</v>
      </c>
    </row>
    <row r="61" spans="1:24" ht="15.75" customHeight="1">
      <c r="A61" s="128" t="s">
        <v>302</v>
      </c>
      <c r="B61" s="128"/>
      <c r="C61" s="321">
        <f t="shared" ref="C61:F61" si="37">C17+C30+C31+C34+C39+C56+C60</f>
        <v>12022282</v>
      </c>
      <c r="D61" s="321">
        <f t="shared" si="37"/>
        <v>6616865.6100000003</v>
      </c>
      <c r="E61" s="321">
        <f t="shared" si="37"/>
        <v>7114524</v>
      </c>
      <c r="F61" s="321">
        <f t="shared" si="37"/>
        <v>13727993.267999999</v>
      </c>
      <c r="G61" s="322">
        <f>G17+G30+G34+G39+G56</f>
        <v>1685711.2679999992</v>
      </c>
      <c r="H61" s="312"/>
      <c r="I61" s="603"/>
      <c r="J61" s="219"/>
      <c r="K61" s="323">
        <f>K17+K30+K34+K39+K56+K31</f>
        <v>1117606.7723333335</v>
      </c>
      <c r="L61" s="323">
        <f t="shared" ref="L61:M61" si="38">L17+L30+L34+L39+L56+L31+L60</f>
        <v>1135776.7723333335</v>
      </c>
      <c r="M61" s="323">
        <f t="shared" si="38"/>
        <v>1278451.7723333335</v>
      </c>
      <c r="N61" s="323">
        <f>N17+N29+N34+N39+N56+N31+N60</f>
        <v>1258660.1056666668</v>
      </c>
      <c r="O61" s="323">
        <f t="shared" ref="O61:V61" si="39">O17+O30+O34+O39+O56+O31+O60</f>
        <v>1133651.7723333335</v>
      </c>
      <c r="P61" s="323">
        <f t="shared" si="39"/>
        <v>1134151.7723333335</v>
      </c>
      <c r="Q61" s="323">
        <f t="shared" si="39"/>
        <v>1133651.7723333335</v>
      </c>
      <c r="R61" s="323">
        <f t="shared" si="39"/>
        <v>1133651.7723333335</v>
      </c>
      <c r="S61" s="323">
        <f t="shared" si="39"/>
        <v>1129151.7723333335</v>
      </c>
      <c r="T61" s="323">
        <f t="shared" si="39"/>
        <v>1147651.7723333335</v>
      </c>
      <c r="U61" s="323">
        <f t="shared" si="39"/>
        <v>1123576.7723333335</v>
      </c>
      <c r="V61" s="323">
        <f t="shared" si="39"/>
        <v>1105318.7723333335</v>
      </c>
      <c r="W61" s="324"/>
      <c r="X61" s="323">
        <f>X17+X30+X34+X39+X56+X31+X60</f>
        <v>13727993.267999999</v>
      </c>
    </row>
    <row r="62" spans="1:24" ht="15.75" customHeight="1">
      <c r="A62" s="129"/>
      <c r="B62" s="129"/>
      <c r="C62" s="292"/>
      <c r="D62" s="198"/>
      <c r="E62" s="198"/>
      <c r="F62" s="198"/>
      <c r="G62" s="198"/>
      <c r="H62" s="198"/>
      <c r="I62" s="600"/>
      <c r="J62" s="198"/>
      <c r="K62" s="198"/>
      <c r="L62" s="196"/>
      <c r="M62" s="196"/>
      <c r="N62" s="196"/>
      <c r="O62" s="196"/>
      <c r="P62" s="196"/>
      <c r="Q62" s="196"/>
      <c r="R62" s="196"/>
      <c r="S62" s="196"/>
      <c r="T62" s="196"/>
      <c r="U62" s="196"/>
      <c r="V62" s="196"/>
      <c r="W62" s="275"/>
      <c r="X62" s="325"/>
    </row>
    <row r="63" spans="1:24" ht="15.75" hidden="1" customHeight="1">
      <c r="A63" s="276" t="s">
        <v>291</v>
      </c>
      <c r="B63" s="129"/>
      <c r="C63" s="292"/>
      <c r="D63" s="210"/>
      <c r="E63" s="210"/>
      <c r="F63" s="210"/>
      <c r="G63" s="210"/>
      <c r="H63" s="210"/>
      <c r="I63" s="610"/>
      <c r="J63" s="210"/>
      <c r="K63" s="326">
        <f t="shared" ref="K63:V63" si="40">K14-K61</f>
        <v>-1115940.1056666668</v>
      </c>
      <c r="L63" s="278">
        <f t="shared" si="40"/>
        <v>365747.12683333317</v>
      </c>
      <c r="M63" s="278">
        <f t="shared" si="40"/>
        <v>223072.12683333317</v>
      </c>
      <c r="N63" s="278">
        <f t="shared" si="40"/>
        <v>242863.79349999991</v>
      </c>
      <c r="O63" s="278">
        <f t="shared" si="40"/>
        <v>491590.12683333317</v>
      </c>
      <c r="P63" s="278">
        <f t="shared" si="40"/>
        <v>367372.12683333317</v>
      </c>
      <c r="Q63" s="278">
        <f t="shared" si="40"/>
        <v>367872.12683333317</v>
      </c>
      <c r="R63" s="278">
        <f t="shared" si="40"/>
        <v>367872.12683333317</v>
      </c>
      <c r="S63" s="278">
        <f t="shared" si="40"/>
        <v>496090.12683333317</v>
      </c>
      <c r="T63" s="278">
        <f t="shared" si="40"/>
        <v>353872.12683333317</v>
      </c>
      <c r="U63" s="278">
        <f t="shared" si="40"/>
        <v>377947.12683333317</v>
      </c>
      <c r="V63" s="278">
        <f t="shared" si="40"/>
        <v>-1103652.1056666668</v>
      </c>
      <c r="W63" s="279"/>
      <c r="X63" s="327"/>
    </row>
    <row r="64" spans="1:24" ht="15.75" hidden="1" customHeight="1">
      <c r="A64" s="128"/>
      <c r="B64" s="129"/>
      <c r="C64" s="292"/>
      <c r="D64" s="132"/>
      <c r="E64" s="132"/>
      <c r="F64" s="132"/>
      <c r="G64" s="132"/>
      <c r="H64" s="132"/>
      <c r="I64" s="605"/>
      <c r="J64" s="132"/>
      <c r="K64" s="132"/>
      <c r="L64" s="129"/>
      <c r="M64" s="129"/>
      <c r="N64" s="129"/>
      <c r="O64" s="129"/>
      <c r="P64" s="129"/>
      <c r="Q64" s="129"/>
      <c r="R64" s="129"/>
      <c r="S64" s="129"/>
      <c r="T64" s="129"/>
      <c r="U64" s="129"/>
      <c r="V64" s="129"/>
      <c r="W64" s="275"/>
      <c r="X64" s="325"/>
    </row>
    <row r="65" spans="3:24" ht="15.75" hidden="1" customHeight="1">
      <c r="C65" s="328"/>
      <c r="D65" s="289"/>
      <c r="E65" s="289"/>
      <c r="F65" s="289"/>
      <c r="G65" s="289"/>
      <c r="H65" s="289"/>
      <c r="I65" s="611"/>
      <c r="J65" s="289"/>
      <c r="K65" s="289"/>
      <c r="L65" s="289"/>
      <c r="M65" s="289"/>
      <c r="N65" s="289"/>
      <c r="O65" s="289"/>
      <c r="P65" s="289"/>
      <c r="Q65" s="289"/>
      <c r="R65" s="289"/>
      <c r="S65" s="289"/>
      <c r="T65" s="289"/>
      <c r="U65" s="289"/>
      <c r="V65" s="289"/>
      <c r="X65" s="329"/>
    </row>
    <row r="66" spans="3:24" ht="15.75" hidden="1" customHeight="1">
      <c r="C66" s="328"/>
      <c r="D66" s="289"/>
      <c r="E66" s="289"/>
      <c r="F66" s="289"/>
      <c r="G66" s="289"/>
      <c r="H66" s="289"/>
      <c r="I66" s="611"/>
      <c r="J66" s="289"/>
      <c r="K66" s="289"/>
      <c r="L66" s="289"/>
      <c r="M66" s="289"/>
      <c r="N66" s="289"/>
      <c r="O66" s="289"/>
      <c r="P66" s="289"/>
      <c r="Q66" s="289"/>
      <c r="R66" s="289"/>
      <c r="S66" s="291"/>
      <c r="T66" s="289"/>
      <c r="U66" s="289"/>
      <c r="V66" s="289"/>
      <c r="X66" s="329"/>
    </row>
    <row r="67" spans="3:24" ht="15.75" hidden="1" customHeight="1">
      <c r="C67" s="328"/>
      <c r="D67" s="289"/>
      <c r="E67" s="289"/>
      <c r="F67" s="289"/>
      <c r="G67" s="289"/>
      <c r="H67" s="289"/>
      <c r="I67" s="611"/>
      <c r="J67" s="289"/>
      <c r="K67" s="289"/>
      <c r="L67" s="289"/>
      <c r="M67" s="289"/>
      <c r="N67" s="289"/>
      <c r="O67" s="289"/>
      <c r="P67" s="289"/>
      <c r="Q67" s="289"/>
      <c r="R67" s="289"/>
      <c r="S67" s="289"/>
      <c r="T67" s="289"/>
      <c r="U67" s="289"/>
      <c r="V67" s="289"/>
      <c r="X67" s="329"/>
    </row>
    <row r="68" spans="3:24" ht="15.75" hidden="1" customHeight="1">
      <c r="C68" s="328"/>
      <c r="D68" s="289"/>
      <c r="E68" s="289"/>
      <c r="F68" s="289"/>
      <c r="G68" s="289"/>
      <c r="H68" s="289"/>
      <c r="I68" s="611"/>
      <c r="J68" s="289"/>
      <c r="K68" s="289"/>
      <c r="L68" s="289"/>
      <c r="M68" s="289"/>
      <c r="N68" s="289"/>
      <c r="O68" s="289"/>
      <c r="P68" s="289"/>
      <c r="Q68" s="289"/>
      <c r="R68" s="289"/>
      <c r="S68" s="289"/>
      <c r="T68" s="289"/>
      <c r="U68" s="289"/>
      <c r="V68" s="289"/>
      <c r="X68" s="329"/>
    </row>
    <row r="69" spans="3:24" ht="15.75" hidden="1" customHeight="1">
      <c r="C69" s="328"/>
      <c r="D69" s="289"/>
      <c r="E69" s="289"/>
      <c r="F69" s="289"/>
      <c r="G69" s="289"/>
      <c r="H69" s="289"/>
      <c r="I69" s="611"/>
      <c r="J69" s="289"/>
      <c r="K69" s="289"/>
      <c r="L69" s="289"/>
      <c r="M69" s="289"/>
      <c r="N69" s="289"/>
      <c r="O69" s="289"/>
      <c r="P69" s="289"/>
      <c r="Q69" s="289"/>
      <c r="R69" s="289"/>
      <c r="S69" s="289"/>
      <c r="T69" s="289"/>
      <c r="U69" s="289"/>
      <c r="V69" s="289"/>
      <c r="X69" s="329"/>
    </row>
    <row r="70" spans="3:24" ht="15.75" hidden="1" customHeight="1">
      <c r="C70" s="328"/>
      <c r="D70" s="289"/>
      <c r="E70" s="289"/>
      <c r="F70" s="289"/>
      <c r="G70" s="289"/>
      <c r="H70" s="289"/>
      <c r="I70" s="611"/>
      <c r="J70" s="289"/>
      <c r="K70" s="289"/>
      <c r="L70" s="289"/>
      <c r="M70" s="289"/>
      <c r="N70" s="289"/>
      <c r="O70" s="289"/>
      <c r="P70" s="289"/>
      <c r="Q70" s="289"/>
      <c r="R70" s="289"/>
      <c r="S70" s="289"/>
      <c r="T70" s="289"/>
      <c r="U70" s="289"/>
      <c r="V70" s="289"/>
      <c r="X70" s="329"/>
    </row>
    <row r="71" spans="3:24" ht="15.75" hidden="1" customHeight="1">
      <c r="C71" s="328"/>
      <c r="D71" s="289"/>
      <c r="E71" s="289"/>
      <c r="F71" s="289"/>
      <c r="G71" s="289"/>
      <c r="H71" s="289"/>
      <c r="I71" s="611"/>
      <c r="J71" s="289"/>
      <c r="K71" s="289"/>
      <c r="L71" s="289"/>
      <c r="M71" s="289"/>
      <c r="N71" s="289"/>
      <c r="O71" s="289"/>
      <c r="P71" s="289"/>
      <c r="Q71" s="289"/>
      <c r="R71" s="289"/>
      <c r="S71" s="289"/>
      <c r="T71" s="289"/>
      <c r="U71" s="289"/>
      <c r="V71" s="289"/>
      <c r="X71" s="329"/>
    </row>
    <row r="72" spans="3:24" ht="15.75" customHeight="1">
      <c r="C72" s="328"/>
      <c r="D72" s="289"/>
      <c r="E72" s="289"/>
      <c r="F72" s="289"/>
      <c r="G72" s="289"/>
      <c r="H72" s="289"/>
      <c r="I72" s="611"/>
      <c r="J72" s="289"/>
      <c r="K72" s="289"/>
      <c r="L72" s="289"/>
      <c r="M72" s="289"/>
      <c r="N72" s="289"/>
      <c r="O72" s="289"/>
      <c r="P72" s="289"/>
      <c r="Q72" s="289"/>
      <c r="R72" s="289"/>
      <c r="S72" s="289"/>
      <c r="T72" s="289"/>
      <c r="U72" s="289"/>
      <c r="V72" s="289"/>
      <c r="X72" s="329"/>
    </row>
    <row r="73" spans="3:24" ht="15.75" customHeight="1">
      <c r="C73" s="328"/>
      <c r="D73" s="289"/>
      <c r="E73" s="289"/>
      <c r="F73" s="289"/>
      <c r="G73" s="289"/>
      <c r="H73" s="289"/>
      <c r="I73" s="611"/>
      <c r="J73" s="289"/>
      <c r="K73" s="289"/>
      <c r="L73" s="289"/>
      <c r="M73" s="289"/>
      <c r="N73" s="289"/>
      <c r="O73" s="289"/>
      <c r="P73" s="289"/>
      <c r="Q73" s="289"/>
      <c r="R73" s="289"/>
      <c r="S73" s="289"/>
      <c r="T73" s="289"/>
      <c r="U73" s="289"/>
      <c r="V73" s="289"/>
      <c r="X73" s="329"/>
    </row>
    <row r="74" spans="3:24" ht="15.75" customHeight="1">
      <c r="C74" s="328"/>
      <c r="D74" s="289"/>
      <c r="E74" s="289"/>
      <c r="F74" s="289"/>
      <c r="G74" s="289"/>
      <c r="H74" s="289"/>
      <c r="I74" s="611"/>
      <c r="J74" s="289"/>
      <c r="K74" s="289"/>
      <c r="L74" s="289"/>
      <c r="M74" s="289"/>
      <c r="N74" s="289"/>
      <c r="O74" s="289"/>
      <c r="P74" s="289"/>
      <c r="Q74" s="289"/>
      <c r="R74" s="289"/>
      <c r="S74" s="289"/>
      <c r="T74" s="289"/>
      <c r="U74" s="289"/>
      <c r="V74" s="289"/>
      <c r="X74" s="329"/>
    </row>
    <row r="75" spans="3:24" ht="15.75" customHeight="1">
      <c r="C75" s="328"/>
      <c r="D75" s="289"/>
      <c r="E75" s="289"/>
      <c r="F75" s="289"/>
      <c r="G75" s="289"/>
      <c r="H75" s="289"/>
      <c r="I75" s="611"/>
      <c r="J75" s="289"/>
      <c r="K75" s="289"/>
      <c r="L75" s="289"/>
      <c r="M75" s="289"/>
      <c r="N75" s="289"/>
      <c r="O75" s="289"/>
      <c r="P75" s="289"/>
      <c r="Q75" s="289"/>
      <c r="R75" s="289"/>
      <c r="S75" s="289"/>
      <c r="T75" s="289"/>
      <c r="U75" s="289"/>
      <c r="V75" s="289"/>
      <c r="X75" s="329"/>
    </row>
    <row r="76" spans="3:24" ht="15.75" customHeight="1">
      <c r="C76" s="328"/>
      <c r="D76" s="289"/>
      <c r="E76" s="289"/>
      <c r="F76" s="289"/>
      <c r="G76" s="289"/>
      <c r="H76" s="289"/>
      <c r="I76" s="611"/>
      <c r="J76" s="289"/>
      <c r="K76" s="289"/>
      <c r="L76" s="289"/>
      <c r="M76" s="289"/>
      <c r="N76" s="289"/>
      <c r="O76" s="289"/>
      <c r="P76" s="289"/>
      <c r="Q76" s="289"/>
      <c r="R76" s="289"/>
      <c r="S76" s="289"/>
      <c r="T76" s="289"/>
      <c r="U76" s="289"/>
      <c r="V76" s="289"/>
      <c r="X76" s="329"/>
    </row>
    <row r="77" spans="3:24" ht="15.75" customHeight="1">
      <c r="C77" s="328"/>
      <c r="D77" s="289"/>
      <c r="E77" s="289"/>
      <c r="F77" s="289"/>
      <c r="G77" s="289"/>
      <c r="H77" s="289"/>
      <c r="I77" s="611"/>
      <c r="J77" s="289"/>
      <c r="K77" s="289"/>
      <c r="L77" s="289"/>
      <c r="M77" s="289"/>
      <c r="N77" s="289"/>
      <c r="O77" s="289"/>
      <c r="P77" s="289"/>
      <c r="Q77" s="289"/>
      <c r="R77" s="289"/>
      <c r="S77" s="289"/>
      <c r="T77" s="289"/>
      <c r="U77" s="289"/>
      <c r="V77" s="289"/>
      <c r="X77" s="329"/>
    </row>
    <row r="78" spans="3:24" ht="15.75" customHeight="1">
      <c r="C78" s="328"/>
      <c r="D78" s="289"/>
      <c r="E78" s="289"/>
      <c r="F78" s="289"/>
      <c r="G78" s="289"/>
      <c r="H78" s="289"/>
      <c r="I78" s="611"/>
      <c r="J78" s="289"/>
      <c r="K78" s="289"/>
      <c r="L78" s="289"/>
      <c r="M78" s="289"/>
      <c r="N78" s="289"/>
      <c r="O78" s="289"/>
      <c r="P78" s="289"/>
      <c r="Q78" s="289"/>
      <c r="R78" s="289"/>
      <c r="S78" s="289"/>
      <c r="T78" s="289"/>
      <c r="U78" s="289"/>
      <c r="V78" s="289"/>
      <c r="X78" s="329"/>
    </row>
    <row r="79" spans="3:24" ht="15.75" customHeight="1">
      <c r="C79" s="328"/>
      <c r="D79" s="289"/>
      <c r="E79" s="289"/>
      <c r="F79" s="289"/>
      <c r="G79" s="289"/>
      <c r="H79" s="289"/>
      <c r="I79" s="611"/>
      <c r="J79" s="289"/>
      <c r="K79" s="289"/>
      <c r="L79" s="289"/>
      <c r="M79" s="289"/>
      <c r="N79" s="289"/>
      <c r="O79" s="289"/>
      <c r="P79" s="289"/>
      <c r="Q79" s="289"/>
      <c r="R79" s="289"/>
      <c r="S79" s="289"/>
      <c r="T79" s="289"/>
      <c r="U79" s="289"/>
      <c r="V79" s="289"/>
      <c r="X79" s="329"/>
    </row>
    <row r="80" spans="3:24" ht="15.75" customHeight="1">
      <c r="C80" s="328"/>
      <c r="D80" s="289"/>
      <c r="E80" s="289"/>
      <c r="F80" s="289"/>
      <c r="G80" s="289"/>
      <c r="H80" s="289"/>
      <c r="I80" s="611"/>
      <c r="J80" s="289"/>
      <c r="K80" s="289"/>
      <c r="L80" s="289"/>
      <c r="M80" s="289"/>
      <c r="N80" s="289"/>
      <c r="O80" s="289"/>
      <c r="P80" s="289"/>
      <c r="Q80" s="289"/>
      <c r="R80" s="289"/>
      <c r="S80" s="289"/>
      <c r="T80" s="289"/>
      <c r="U80" s="289"/>
      <c r="V80" s="289"/>
      <c r="X80" s="329"/>
    </row>
    <row r="81" spans="3:24" ht="15.75" customHeight="1">
      <c r="C81" s="328"/>
      <c r="D81" s="289"/>
      <c r="E81" s="289"/>
      <c r="F81" s="289"/>
      <c r="G81" s="289"/>
      <c r="H81" s="289"/>
      <c r="I81" s="611"/>
      <c r="J81" s="289"/>
      <c r="K81" s="289"/>
      <c r="L81" s="289"/>
      <c r="M81" s="289"/>
      <c r="N81" s="289"/>
      <c r="O81" s="289"/>
      <c r="P81" s="289"/>
      <c r="Q81" s="289"/>
      <c r="R81" s="289"/>
      <c r="S81" s="289"/>
      <c r="T81" s="289"/>
      <c r="U81" s="289"/>
      <c r="V81" s="289"/>
      <c r="X81" s="329"/>
    </row>
    <row r="82" spans="3:24" ht="15.75" customHeight="1">
      <c r="C82" s="328"/>
      <c r="D82" s="289"/>
      <c r="E82" s="289"/>
      <c r="F82" s="289"/>
      <c r="G82" s="289"/>
      <c r="H82" s="289"/>
      <c r="I82" s="611"/>
      <c r="J82" s="289"/>
      <c r="K82" s="289"/>
      <c r="L82" s="289"/>
      <c r="M82" s="289"/>
      <c r="N82" s="289"/>
      <c r="O82" s="289"/>
      <c r="P82" s="289"/>
      <c r="Q82" s="289"/>
      <c r="R82" s="289"/>
      <c r="S82" s="289"/>
      <c r="T82" s="289"/>
      <c r="U82" s="289"/>
      <c r="V82" s="289"/>
      <c r="X82" s="329"/>
    </row>
    <row r="83" spans="3:24" ht="15.75" customHeight="1">
      <c r="C83" s="328"/>
      <c r="D83" s="289"/>
      <c r="E83" s="289"/>
      <c r="F83" s="289"/>
      <c r="G83" s="289"/>
      <c r="H83" s="289"/>
      <c r="I83" s="611"/>
      <c r="J83" s="289"/>
      <c r="K83" s="289"/>
      <c r="L83" s="289"/>
      <c r="M83" s="289"/>
      <c r="N83" s="289"/>
      <c r="O83" s="289"/>
      <c r="P83" s="289"/>
      <c r="Q83" s="289"/>
      <c r="R83" s="289"/>
      <c r="S83" s="289"/>
      <c r="T83" s="289"/>
      <c r="U83" s="289"/>
      <c r="V83" s="289"/>
      <c r="X83" s="329"/>
    </row>
    <row r="84" spans="3:24" ht="15.75" customHeight="1">
      <c r="C84" s="328"/>
      <c r="D84" s="289"/>
      <c r="E84" s="289"/>
      <c r="F84" s="289"/>
      <c r="G84" s="289"/>
      <c r="H84" s="289"/>
      <c r="I84" s="611"/>
      <c r="J84" s="289"/>
      <c r="K84" s="289"/>
      <c r="L84" s="289"/>
      <c r="M84" s="289"/>
      <c r="N84" s="289"/>
      <c r="O84" s="289"/>
      <c r="P84" s="289"/>
      <c r="Q84" s="289"/>
      <c r="R84" s="289"/>
      <c r="S84" s="289"/>
      <c r="T84" s="289"/>
      <c r="U84" s="289"/>
      <c r="V84" s="289"/>
      <c r="X84" s="329"/>
    </row>
    <row r="85" spans="3:24" ht="15.75" customHeight="1">
      <c r="C85" s="328"/>
      <c r="D85" s="289"/>
      <c r="E85" s="289"/>
      <c r="F85" s="289"/>
      <c r="G85" s="289"/>
      <c r="H85" s="289"/>
      <c r="I85" s="611"/>
      <c r="J85" s="289"/>
      <c r="K85" s="289"/>
      <c r="L85" s="289"/>
      <c r="M85" s="289"/>
      <c r="N85" s="289"/>
      <c r="O85" s="289"/>
      <c r="P85" s="289"/>
      <c r="Q85" s="289"/>
      <c r="R85" s="289"/>
      <c r="S85" s="289"/>
      <c r="T85" s="289"/>
      <c r="U85" s="289"/>
      <c r="V85" s="289"/>
      <c r="X85" s="329"/>
    </row>
    <row r="86" spans="3:24" ht="15.75" customHeight="1">
      <c r="C86" s="328"/>
      <c r="D86" s="289"/>
      <c r="E86" s="289"/>
      <c r="F86" s="289"/>
      <c r="G86" s="289"/>
      <c r="H86" s="289"/>
      <c r="I86" s="611"/>
      <c r="J86" s="289"/>
      <c r="K86" s="289"/>
      <c r="L86" s="289"/>
      <c r="M86" s="289"/>
      <c r="N86" s="289"/>
      <c r="O86" s="289"/>
      <c r="P86" s="289"/>
      <c r="Q86" s="289"/>
      <c r="R86" s="289"/>
      <c r="S86" s="289"/>
      <c r="T86" s="289"/>
      <c r="U86" s="289"/>
      <c r="V86" s="289"/>
      <c r="X86" s="329"/>
    </row>
    <row r="87" spans="3:24" ht="15.75" customHeight="1">
      <c r="C87" s="328"/>
      <c r="D87" s="289"/>
      <c r="E87" s="289"/>
      <c r="F87" s="289"/>
      <c r="G87" s="289"/>
      <c r="H87" s="289"/>
      <c r="I87" s="611"/>
      <c r="J87" s="289"/>
      <c r="K87" s="289"/>
      <c r="L87" s="289"/>
      <c r="M87" s="289"/>
      <c r="N87" s="289"/>
      <c r="O87" s="289"/>
      <c r="P87" s="289"/>
      <c r="Q87" s="289"/>
      <c r="R87" s="289"/>
      <c r="S87" s="289"/>
      <c r="T87" s="289"/>
      <c r="U87" s="289"/>
      <c r="V87" s="289"/>
      <c r="X87" s="329"/>
    </row>
    <row r="88" spans="3:24" ht="15.75" customHeight="1">
      <c r="C88" s="328"/>
      <c r="D88" s="289"/>
      <c r="E88" s="289"/>
      <c r="F88" s="289"/>
      <c r="G88" s="289"/>
      <c r="H88" s="289"/>
      <c r="I88" s="611"/>
      <c r="J88" s="289"/>
      <c r="K88" s="289"/>
      <c r="L88" s="289"/>
      <c r="M88" s="289"/>
      <c r="N88" s="289"/>
      <c r="O88" s="289"/>
      <c r="P88" s="289"/>
      <c r="Q88" s="289"/>
      <c r="R88" s="289"/>
      <c r="S88" s="289"/>
      <c r="T88" s="289"/>
      <c r="U88" s="289"/>
      <c r="V88" s="289"/>
      <c r="X88" s="329"/>
    </row>
    <row r="89" spans="3:24" ht="15.75" customHeight="1">
      <c r="C89" s="328"/>
      <c r="D89" s="289"/>
      <c r="E89" s="289"/>
      <c r="F89" s="289"/>
      <c r="G89" s="289"/>
      <c r="H89" s="289"/>
      <c r="I89" s="611"/>
      <c r="J89" s="289"/>
      <c r="K89" s="289"/>
      <c r="L89" s="289"/>
      <c r="M89" s="289"/>
      <c r="N89" s="289"/>
      <c r="O89" s="289"/>
      <c r="P89" s="289"/>
      <c r="Q89" s="289"/>
      <c r="R89" s="289"/>
      <c r="S89" s="289"/>
      <c r="T89" s="289"/>
      <c r="U89" s="289"/>
      <c r="V89" s="289"/>
      <c r="X89" s="329"/>
    </row>
    <row r="90" spans="3:24" ht="15.75" customHeight="1">
      <c r="C90" s="328"/>
      <c r="D90" s="289"/>
      <c r="E90" s="289"/>
      <c r="F90" s="289"/>
      <c r="G90" s="289"/>
      <c r="H90" s="289"/>
      <c r="I90" s="611"/>
      <c r="J90" s="289"/>
      <c r="K90" s="289"/>
      <c r="L90" s="289"/>
      <c r="M90" s="289"/>
      <c r="N90" s="289"/>
      <c r="O90" s="289"/>
      <c r="P90" s="289"/>
      <c r="Q90" s="289"/>
      <c r="R90" s="289"/>
      <c r="S90" s="289"/>
      <c r="T90" s="289"/>
      <c r="U90" s="289"/>
      <c r="V90" s="289"/>
      <c r="X90" s="329"/>
    </row>
    <row r="91" spans="3:24" ht="15.75" customHeight="1">
      <c r="C91" s="328"/>
      <c r="D91" s="289"/>
      <c r="E91" s="289"/>
      <c r="F91" s="289"/>
      <c r="G91" s="289"/>
      <c r="H91" s="289"/>
      <c r="I91" s="611"/>
      <c r="J91" s="289"/>
      <c r="K91" s="289"/>
      <c r="L91" s="289"/>
      <c r="M91" s="289"/>
      <c r="N91" s="289"/>
      <c r="O91" s="289"/>
      <c r="P91" s="289"/>
      <c r="Q91" s="289"/>
      <c r="R91" s="289"/>
      <c r="S91" s="289"/>
      <c r="T91" s="289"/>
      <c r="U91" s="289"/>
      <c r="V91" s="289"/>
      <c r="X91" s="329"/>
    </row>
    <row r="92" spans="3:24" ht="15.75" customHeight="1">
      <c r="C92" s="328"/>
      <c r="D92" s="289"/>
      <c r="E92" s="289"/>
      <c r="F92" s="289"/>
      <c r="G92" s="289"/>
      <c r="H92" s="289"/>
      <c r="I92" s="611"/>
      <c r="J92" s="289"/>
      <c r="K92" s="289"/>
      <c r="L92" s="289"/>
      <c r="M92" s="289"/>
      <c r="N92" s="289"/>
      <c r="O92" s="289"/>
      <c r="P92" s="289"/>
      <c r="Q92" s="289"/>
      <c r="R92" s="289"/>
      <c r="S92" s="289"/>
      <c r="T92" s="289"/>
      <c r="U92" s="289"/>
      <c r="V92" s="289"/>
      <c r="X92" s="329"/>
    </row>
    <row r="93" spans="3:24" ht="15.75" customHeight="1">
      <c r="C93" s="328"/>
      <c r="D93" s="289"/>
      <c r="E93" s="289"/>
      <c r="F93" s="289"/>
      <c r="G93" s="289"/>
      <c r="H93" s="289"/>
      <c r="I93" s="611"/>
      <c r="J93" s="289"/>
      <c r="K93" s="289"/>
      <c r="L93" s="289"/>
      <c r="M93" s="289"/>
      <c r="N93" s="289"/>
      <c r="O93" s="289"/>
      <c r="P93" s="289"/>
      <c r="Q93" s="289"/>
      <c r="R93" s="289"/>
      <c r="S93" s="289"/>
      <c r="T93" s="289"/>
      <c r="U93" s="289"/>
      <c r="V93" s="289"/>
      <c r="X93" s="329"/>
    </row>
    <row r="94" spans="3:24" ht="15.75" customHeight="1">
      <c r="C94" s="328"/>
      <c r="D94" s="289"/>
      <c r="E94" s="289"/>
      <c r="F94" s="289"/>
      <c r="G94" s="289"/>
      <c r="H94" s="289"/>
      <c r="I94" s="611"/>
      <c r="J94" s="289"/>
      <c r="K94" s="289"/>
      <c r="L94" s="289"/>
      <c r="M94" s="289"/>
      <c r="N94" s="289"/>
      <c r="O94" s="289"/>
      <c r="P94" s="289"/>
      <c r="Q94" s="289"/>
      <c r="R94" s="289"/>
      <c r="S94" s="289"/>
      <c r="T94" s="289"/>
      <c r="U94" s="289"/>
      <c r="V94" s="289"/>
      <c r="X94" s="329"/>
    </row>
    <row r="95" spans="3:24" ht="15.75" customHeight="1">
      <c r="C95" s="328"/>
      <c r="D95" s="289"/>
      <c r="E95" s="289"/>
      <c r="F95" s="289"/>
      <c r="G95" s="289"/>
      <c r="H95" s="289"/>
      <c r="I95" s="611"/>
      <c r="J95" s="289"/>
      <c r="K95" s="289"/>
      <c r="L95" s="289"/>
      <c r="M95" s="289"/>
      <c r="N95" s="289"/>
      <c r="O95" s="289"/>
      <c r="P95" s="289"/>
      <c r="Q95" s="289"/>
      <c r="R95" s="289"/>
      <c r="S95" s="289"/>
      <c r="T95" s="289"/>
      <c r="U95" s="289"/>
      <c r="V95" s="289"/>
      <c r="X95" s="329"/>
    </row>
    <row r="96" spans="3:24" ht="15.75" customHeight="1">
      <c r="C96" s="328"/>
      <c r="D96" s="289"/>
      <c r="E96" s="289"/>
      <c r="F96" s="289"/>
      <c r="G96" s="289"/>
      <c r="H96" s="289"/>
      <c r="I96" s="611"/>
      <c r="J96" s="289"/>
      <c r="K96" s="289"/>
      <c r="L96" s="289"/>
      <c r="M96" s="289"/>
      <c r="N96" s="289"/>
      <c r="O96" s="289"/>
      <c r="P96" s="289"/>
      <c r="Q96" s="289"/>
      <c r="R96" s="289"/>
      <c r="S96" s="289"/>
      <c r="T96" s="289"/>
      <c r="U96" s="289"/>
      <c r="V96" s="289"/>
      <c r="X96" s="329"/>
    </row>
    <row r="97" spans="3:24" ht="15.75" customHeight="1">
      <c r="C97" s="328"/>
      <c r="D97" s="289"/>
      <c r="E97" s="289"/>
      <c r="F97" s="289"/>
      <c r="G97" s="289"/>
      <c r="H97" s="289"/>
      <c r="I97" s="611"/>
      <c r="J97" s="289"/>
      <c r="K97" s="289"/>
      <c r="L97" s="289"/>
      <c r="M97" s="289"/>
      <c r="N97" s="289"/>
      <c r="O97" s="289"/>
      <c r="P97" s="289"/>
      <c r="Q97" s="289"/>
      <c r="R97" s="289"/>
      <c r="S97" s="289"/>
      <c r="T97" s="289"/>
      <c r="U97" s="289"/>
      <c r="V97" s="289"/>
      <c r="X97" s="329"/>
    </row>
    <row r="98" spans="3:24" ht="15.75" customHeight="1">
      <c r="C98" s="328"/>
      <c r="D98" s="289"/>
      <c r="E98" s="289"/>
      <c r="F98" s="289"/>
      <c r="G98" s="289"/>
      <c r="H98" s="289"/>
      <c r="I98" s="611"/>
      <c r="J98" s="289"/>
      <c r="K98" s="289"/>
      <c r="L98" s="289"/>
      <c r="M98" s="289"/>
      <c r="N98" s="289"/>
      <c r="O98" s="289"/>
      <c r="P98" s="289"/>
      <c r="Q98" s="289"/>
      <c r="R98" s="289"/>
      <c r="S98" s="289"/>
      <c r="T98" s="289"/>
      <c r="U98" s="289"/>
      <c r="V98" s="289"/>
      <c r="X98" s="329"/>
    </row>
    <row r="99" spans="3:24" ht="15.75" customHeight="1">
      <c r="C99" s="328"/>
      <c r="D99" s="289"/>
      <c r="E99" s="289"/>
      <c r="F99" s="289"/>
      <c r="G99" s="289"/>
      <c r="H99" s="289"/>
      <c r="I99" s="611"/>
      <c r="J99" s="289"/>
      <c r="K99" s="289"/>
      <c r="L99" s="289"/>
      <c r="M99" s="289"/>
      <c r="N99" s="289"/>
      <c r="O99" s="289"/>
      <c r="P99" s="289"/>
      <c r="Q99" s="289"/>
      <c r="R99" s="289"/>
      <c r="S99" s="289"/>
      <c r="T99" s="289"/>
      <c r="U99" s="289"/>
      <c r="V99" s="289"/>
      <c r="X99" s="329"/>
    </row>
    <row r="100" spans="3:24" ht="15.75" customHeight="1">
      <c r="C100" s="328"/>
      <c r="D100" s="289"/>
      <c r="E100" s="289"/>
      <c r="F100" s="289"/>
      <c r="G100" s="289"/>
      <c r="H100" s="289"/>
      <c r="I100" s="611"/>
      <c r="J100" s="289"/>
      <c r="K100" s="289"/>
      <c r="L100" s="289"/>
      <c r="M100" s="289"/>
      <c r="N100" s="289"/>
      <c r="O100" s="289"/>
      <c r="P100" s="289"/>
      <c r="Q100" s="289"/>
      <c r="R100" s="289"/>
      <c r="S100" s="289"/>
      <c r="T100" s="289"/>
      <c r="U100" s="289"/>
      <c r="V100" s="289"/>
      <c r="X100" s="329"/>
    </row>
    <row r="101" spans="3:24" ht="15.75" customHeight="1">
      <c r="C101" s="328"/>
      <c r="D101" s="289"/>
      <c r="E101" s="289"/>
      <c r="F101" s="289"/>
      <c r="G101" s="289"/>
      <c r="H101" s="289"/>
      <c r="I101" s="611"/>
      <c r="J101" s="289"/>
      <c r="K101" s="289"/>
      <c r="L101" s="289"/>
      <c r="M101" s="289"/>
      <c r="N101" s="289"/>
      <c r="O101" s="289"/>
      <c r="P101" s="289"/>
      <c r="Q101" s="289"/>
      <c r="R101" s="289"/>
      <c r="S101" s="289"/>
      <c r="T101" s="289"/>
      <c r="U101" s="289"/>
      <c r="V101" s="289"/>
      <c r="X101" s="329"/>
    </row>
    <row r="102" spans="3:24" ht="15.75" customHeight="1">
      <c r="C102" s="328"/>
      <c r="D102" s="289"/>
      <c r="E102" s="289"/>
      <c r="F102" s="289"/>
      <c r="G102" s="289"/>
      <c r="H102" s="289"/>
      <c r="I102" s="611"/>
      <c r="J102" s="289"/>
      <c r="K102" s="289"/>
      <c r="L102" s="289"/>
      <c r="M102" s="289"/>
      <c r="N102" s="289"/>
      <c r="O102" s="289"/>
      <c r="P102" s="289"/>
      <c r="Q102" s="289"/>
      <c r="R102" s="289"/>
      <c r="S102" s="289"/>
      <c r="T102" s="289"/>
      <c r="U102" s="289"/>
      <c r="V102" s="289"/>
      <c r="X102" s="329"/>
    </row>
    <row r="103" spans="3:24" ht="15.75" customHeight="1">
      <c r="C103" s="328"/>
      <c r="D103" s="289"/>
      <c r="E103" s="289"/>
      <c r="F103" s="289"/>
      <c r="G103" s="289"/>
      <c r="H103" s="289"/>
      <c r="I103" s="611"/>
      <c r="J103" s="289"/>
      <c r="K103" s="289"/>
      <c r="L103" s="289"/>
      <c r="M103" s="289"/>
      <c r="N103" s="289"/>
      <c r="O103" s="289"/>
      <c r="P103" s="289"/>
      <c r="Q103" s="289"/>
      <c r="R103" s="289"/>
      <c r="S103" s="289"/>
      <c r="T103" s="289"/>
      <c r="U103" s="289"/>
      <c r="V103" s="289"/>
      <c r="X103" s="329"/>
    </row>
    <row r="104" spans="3:24" ht="15.75" customHeight="1">
      <c r="C104" s="328"/>
      <c r="D104" s="289"/>
      <c r="E104" s="289"/>
      <c r="F104" s="289"/>
      <c r="G104" s="289"/>
      <c r="H104" s="289"/>
      <c r="I104" s="611"/>
      <c r="J104" s="289"/>
      <c r="K104" s="289"/>
      <c r="L104" s="289"/>
      <c r="M104" s="289"/>
      <c r="N104" s="289"/>
      <c r="O104" s="289"/>
      <c r="P104" s="289"/>
      <c r="Q104" s="289"/>
      <c r="R104" s="289"/>
      <c r="S104" s="289"/>
      <c r="T104" s="289"/>
      <c r="U104" s="289"/>
      <c r="V104" s="289"/>
      <c r="X104" s="329"/>
    </row>
    <row r="105" spans="3:24" ht="15.75" customHeight="1">
      <c r="C105" s="328"/>
      <c r="D105" s="289"/>
      <c r="E105" s="289"/>
      <c r="F105" s="289"/>
      <c r="G105" s="289"/>
      <c r="H105" s="289"/>
      <c r="I105" s="611"/>
      <c r="J105" s="289"/>
      <c r="K105" s="289"/>
      <c r="L105" s="289"/>
      <c r="M105" s="289"/>
      <c r="N105" s="289"/>
      <c r="O105" s="289"/>
      <c r="P105" s="289"/>
      <c r="Q105" s="289"/>
      <c r="R105" s="289"/>
      <c r="S105" s="289"/>
      <c r="T105" s="289"/>
      <c r="U105" s="289"/>
      <c r="V105" s="289"/>
      <c r="X105" s="329"/>
    </row>
    <row r="106" spans="3:24" ht="15.75" customHeight="1">
      <c r="C106" s="328"/>
      <c r="D106" s="289"/>
      <c r="E106" s="289"/>
      <c r="F106" s="289"/>
      <c r="G106" s="289"/>
      <c r="H106" s="289"/>
      <c r="I106" s="611"/>
      <c r="J106" s="289"/>
      <c r="K106" s="289"/>
      <c r="L106" s="289"/>
      <c r="M106" s="289"/>
      <c r="N106" s="289"/>
      <c r="O106" s="289"/>
      <c r="P106" s="289"/>
      <c r="Q106" s="289"/>
      <c r="R106" s="289"/>
      <c r="S106" s="289"/>
      <c r="T106" s="289"/>
      <c r="U106" s="289"/>
      <c r="V106" s="289"/>
      <c r="X106" s="329"/>
    </row>
    <row r="107" spans="3:24" ht="15.75" customHeight="1">
      <c r="C107" s="328"/>
      <c r="D107" s="289"/>
      <c r="E107" s="289"/>
      <c r="F107" s="289"/>
      <c r="G107" s="289"/>
      <c r="H107" s="289"/>
      <c r="I107" s="611"/>
      <c r="J107" s="289"/>
      <c r="K107" s="289"/>
      <c r="L107" s="289"/>
      <c r="M107" s="289"/>
      <c r="N107" s="289"/>
      <c r="O107" s="289"/>
      <c r="P107" s="289"/>
      <c r="Q107" s="289"/>
      <c r="R107" s="289"/>
      <c r="S107" s="289"/>
      <c r="T107" s="289"/>
      <c r="U107" s="289"/>
      <c r="V107" s="289"/>
      <c r="X107" s="329"/>
    </row>
    <row r="108" spans="3:24" ht="15.75" customHeight="1">
      <c r="C108" s="328"/>
      <c r="D108" s="289"/>
      <c r="E108" s="289"/>
      <c r="F108" s="289"/>
      <c r="G108" s="289"/>
      <c r="H108" s="289"/>
      <c r="I108" s="611"/>
      <c r="J108" s="289"/>
      <c r="K108" s="289"/>
      <c r="L108" s="289"/>
      <c r="M108" s="289"/>
      <c r="N108" s="289"/>
      <c r="O108" s="289"/>
      <c r="P108" s="289"/>
      <c r="Q108" s="289"/>
      <c r="R108" s="289"/>
      <c r="S108" s="289"/>
      <c r="T108" s="289"/>
      <c r="U108" s="289"/>
      <c r="V108" s="289"/>
      <c r="X108" s="329"/>
    </row>
    <row r="109" spans="3:24" ht="15.75" customHeight="1">
      <c r="C109" s="328"/>
      <c r="D109" s="289"/>
      <c r="E109" s="289"/>
      <c r="F109" s="289"/>
      <c r="G109" s="289"/>
      <c r="H109" s="289"/>
      <c r="I109" s="611"/>
      <c r="J109" s="289"/>
      <c r="K109" s="289"/>
      <c r="L109" s="289"/>
      <c r="M109" s="289"/>
      <c r="N109" s="289"/>
      <c r="O109" s="289"/>
      <c r="P109" s="289"/>
      <c r="Q109" s="289"/>
      <c r="R109" s="289"/>
      <c r="S109" s="289"/>
      <c r="T109" s="289"/>
      <c r="U109" s="289"/>
      <c r="V109" s="289"/>
      <c r="X109" s="329"/>
    </row>
    <row r="110" spans="3:24" ht="15.75" customHeight="1">
      <c r="C110" s="328"/>
      <c r="D110" s="289"/>
      <c r="E110" s="289"/>
      <c r="F110" s="289"/>
      <c r="G110" s="289"/>
      <c r="H110" s="289"/>
      <c r="I110" s="611"/>
      <c r="J110" s="289"/>
      <c r="K110" s="289"/>
      <c r="L110" s="289"/>
      <c r="M110" s="289"/>
      <c r="N110" s="289"/>
      <c r="O110" s="289"/>
      <c r="P110" s="289"/>
      <c r="Q110" s="289"/>
      <c r="R110" s="289"/>
      <c r="S110" s="289"/>
      <c r="T110" s="289"/>
      <c r="U110" s="289"/>
      <c r="V110" s="289"/>
      <c r="X110" s="329"/>
    </row>
    <row r="111" spans="3:24" ht="15.75" customHeight="1">
      <c r="C111" s="328"/>
      <c r="D111" s="289"/>
      <c r="E111" s="289"/>
      <c r="F111" s="289"/>
      <c r="G111" s="289"/>
      <c r="H111" s="289"/>
      <c r="I111" s="611"/>
      <c r="J111" s="289"/>
      <c r="K111" s="289"/>
      <c r="L111" s="289"/>
      <c r="M111" s="289"/>
      <c r="N111" s="289"/>
      <c r="O111" s="289"/>
      <c r="P111" s="289"/>
      <c r="Q111" s="289"/>
      <c r="R111" s="289"/>
      <c r="S111" s="289"/>
      <c r="T111" s="289"/>
      <c r="U111" s="289"/>
      <c r="V111" s="289"/>
      <c r="X111" s="329"/>
    </row>
    <row r="112" spans="3:24" ht="15.75" customHeight="1">
      <c r="C112" s="328"/>
      <c r="D112" s="289"/>
      <c r="E112" s="289"/>
      <c r="F112" s="289"/>
      <c r="G112" s="289"/>
      <c r="H112" s="289"/>
      <c r="I112" s="611"/>
      <c r="J112" s="289"/>
      <c r="K112" s="289"/>
      <c r="L112" s="289"/>
      <c r="M112" s="289"/>
      <c r="N112" s="289"/>
      <c r="O112" s="289"/>
      <c r="P112" s="289"/>
      <c r="Q112" s="289"/>
      <c r="R112" s="289"/>
      <c r="S112" s="289"/>
      <c r="T112" s="289"/>
      <c r="U112" s="289"/>
      <c r="V112" s="289"/>
      <c r="X112" s="329"/>
    </row>
    <row r="113" spans="3:24" ht="15.75" customHeight="1">
      <c r="C113" s="328"/>
      <c r="D113" s="289"/>
      <c r="E113" s="289"/>
      <c r="F113" s="289"/>
      <c r="G113" s="289"/>
      <c r="H113" s="289"/>
      <c r="I113" s="611"/>
      <c r="J113" s="289"/>
      <c r="K113" s="289"/>
      <c r="L113" s="289"/>
      <c r="M113" s="289"/>
      <c r="N113" s="289"/>
      <c r="O113" s="289"/>
      <c r="P113" s="289"/>
      <c r="Q113" s="289"/>
      <c r="R113" s="289"/>
      <c r="S113" s="289"/>
      <c r="T113" s="289"/>
      <c r="U113" s="289"/>
      <c r="V113" s="289"/>
      <c r="X113" s="329"/>
    </row>
    <row r="114" spans="3:24" ht="15.75" customHeight="1">
      <c r="C114" s="328"/>
      <c r="D114" s="289"/>
      <c r="E114" s="289"/>
      <c r="F114" s="289"/>
      <c r="G114" s="289"/>
      <c r="H114" s="289"/>
      <c r="I114" s="611"/>
      <c r="J114" s="289"/>
      <c r="K114" s="289"/>
      <c r="L114" s="289"/>
      <c r="M114" s="289"/>
      <c r="N114" s="289"/>
      <c r="O114" s="289"/>
      <c r="P114" s="289"/>
      <c r="Q114" s="289"/>
      <c r="R114" s="289"/>
      <c r="S114" s="289"/>
      <c r="T114" s="289"/>
      <c r="U114" s="289"/>
      <c r="V114" s="289"/>
      <c r="X114" s="329"/>
    </row>
    <row r="115" spans="3:24" ht="15.75" customHeight="1">
      <c r="C115" s="328"/>
      <c r="D115" s="289"/>
      <c r="E115" s="289"/>
      <c r="F115" s="289"/>
      <c r="G115" s="289"/>
      <c r="H115" s="289"/>
      <c r="I115" s="611"/>
      <c r="J115" s="289"/>
      <c r="K115" s="289"/>
      <c r="L115" s="289"/>
      <c r="M115" s="289"/>
      <c r="N115" s="289"/>
      <c r="O115" s="289"/>
      <c r="P115" s="289"/>
      <c r="Q115" s="289"/>
      <c r="R115" s="289"/>
      <c r="S115" s="289"/>
      <c r="T115" s="289"/>
      <c r="U115" s="289"/>
      <c r="V115" s="289"/>
      <c r="X115" s="329"/>
    </row>
    <row r="116" spans="3:24" ht="15.75" customHeight="1">
      <c r="C116" s="328"/>
      <c r="D116" s="289"/>
      <c r="E116" s="289"/>
      <c r="F116" s="289"/>
      <c r="G116" s="289"/>
      <c r="H116" s="289"/>
      <c r="I116" s="611"/>
      <c r="J116" s="289"/>
      <c r="K116" s="289"/>
      <c r="L116" s="289"/>
      <c r="M116" s="289"/>
      <c r="N116" s="289"/>
      <c r="O116" s="289"/>
      <c r="P116" s="289"/>
      <c r="Q116" s="289"/>
      <c r="R116" s="289"/>
      <c r="S116" s="289"/>
      <c r="T116" s="289"/>
      <c r="U116" s="289"/>
      <c r="V116" s="289"/>
      <c r="X116" s="329"/>
    </row>
    <row r="117" spans="3:24" ht="15.75" customHeight="1">
      <c r="C117" s="328"/>
      <c r="D117" s="289"/>
      <c r="E117" s="289"/>
      <c r="F117" s="289"/>
      <c r="G117" s="289"/>
      <c r="H117" s="289"/>
      <c r="I117" s="611"/>
      <c r="J117" s="289"/>
      <c r="K117" s="289"/>
      <c r="L117" s="289"/>
      <c r="M117" s="289"/>
      <c r="N117" s="289"/>
      <c r="O117" s="289"/>
      <c r="P117" s="289"/>
      <c r="Q117" s="289"/>
      <c r="R117" s="289"/>
      <c r="S117" s="289"/>
      <c r="T117" s="289"/>
      <c r="U117" s="289"/>
      <c r="V117" s="289"/>
      <c r="X117" s="329"/>
    </row>
    <row r="118" spans="3:24" ht="15.75" customHeight="1">
      <c r="C118" s="328"/>
      <c r="D118" s="289"/>
      <c r="E118" s="289"/>
      <c r="F118" s="289"/>
      <c r="G118" s="289"/>
      <c r="H118" s="289"/>
      <c r="I118" s="611"/>
      <c r="J118" s="289"/>
      <c r="K118" s="289"/>
      <c r="L118" s="289"/>
      <c r="M118" s="289"/>
      <c r="N118" s="289"/>
      <c r="O118" s="289"/>
      <c r="P118" s="289"/>
      <c r="Q118" s="289"/>
      <c r="R118" s="289"/>
      <c r="S118" s="289"/>
      <c r="T118" s="289"/>
      <c r="U118" s="289"/>
      <c r="V118" s="289"/>
      <c r="X118" s="329"/>
    </row>
    <row r="119" spans="3:24" ht="15.75" customHeight="1">
      <c r="C119" s="328"/>
      <c r="D119" s="289"/>
      <c r="E119" s="289"/>
      <c r="F119" s="289"/>
      <c r="G119" s="289"/>
      <c r="H119" s="289"/>
      <c r="I119" s="611"/>
      <c r="J119" s="289"/>
      <c r="K119" s="289"/>
      <c r="L119" s="289"/>
      <c r="M119" s="289"/>
      <c r="N119" s="289"/>
      <c r="O119" s="289"/>
      <c r="P119" s="289"/>
      <c r="Q119" s="289"/>
      <c r="R119" s="289"/>
      <c r="S119" s="289"/>
      <c r="T119" s="289"/>
      <c r="U119" s="289"/>
      <c r="V119" s="289"/>
      <c r="X119" s="329"/>
    </row>
    <row r="120" spans="3:24" ht="15.75" customHeight="1">
      <c r="C120" s="328"/>
      <c r="D120" s="289"/>
      <c r="E120" s="289"/>
      <c r="F120" s="289"/>
      <c r="G120" s="289"/>
      <c r="H120" s="289"/>
      <c r="I120" s="611"/>
      <c r="J120" s="289"/>
      <c r="K120" s="289"/>
      <c r="L120" s="289"/>
      <c r="M120" s="289"/>
      <c r="N120" s="289"/>
      <c r="O120" s="289"/>
      <c r="P120" s="289"/>
      <c r="Q120" s="289"/>
      <c r="R120" s="289"/>
      <c r="S120" s="289"/>
      <c r="T120" s="289"/>
      <c r="U120" s="289"/>
      <c r="V120" s="289"/>
      <c r="X120" s="329"/>
    </row>
    <row r="121" spans="3:24" ht="15.75" customHeight="1">
      <c r="C121" s="328"/>
      <c r="D121" s="289"/>
      <c r="E121" s="289"/>
      <c r="F121" s="289"/>
      <c r="G121" s="289"/>
      <c r="H121" s="289"/>
      <c r="I121" s="611"/>
      <c r="J121" s="289"/>
      <c r="K121" s="289"/>
      <c r="L121" s="289"/>
      <c r="M121" s="289"/>
      <c r="N121" s="289"/>
      <c r="O121" s="289"/>
      <c r="P121" s="289"/>
      <c r="Q121" s="289"/>
      <c r="R121" s="289"/>
      <c r="S121" s="289"/>
      <c r="T121" s="289"/>
      <c r="U121" s="289"/>
      <c r="V121" s="289"/>
      <c r="X121" s="329"/>
    </row>
    <row r="122" spans="3:24" ht="15.75" customHeight="1">
      <c r="C122" s="328"/>
      <c r="D122" s="289"/>
      <c r="E122" s="289"/>
      <c r="F122" s="289"/>
      <c r="G122" s="289"/>
      <c r="H122" s="289"/>
      <c r="I122" s="611"/>
      <c r="J122" s="289"/>
      <c r="K122" s="289"/>
      <c r="L122" s="289"/>
      <c r="M122" s="289"/>
      <c r="N122" s="289"/>
      <c r="O122" s="289"/>
      <c r="P122" s="289"/>
      <c r="Q122" s="289"/>
      <c r="R122" s="289"/>
      <c r="S122" s="289"/>
      <c r="T122" s="289"/>
      <c r="U122" s="289"/>
      <c r="V122" s="289"/>
      <c r="X122" s="329"/>
    </row>
    <row r="123" spans="3:24" ht="15.75" customHeight="1">
      <c r="C123" s="328"/>
      <c r="D123" s="289"/>
      <c r="E123" s="289"/>
      <c r="F123" s="289"/>
      <c r="G123" s="289"/>
      <c r="H123" s="289"/>
      <c r="I123" s="611"/>
      <c r="J123" s="289"/>
      <c r="K123" s="289"/>
      <c r="L123" s="289"/>
      <c r="M123" s="289"/>
      <c r="N123" s="289"/>
      <c r="O123" s="289"/>
      <c r="P123" s="289"/>
      <c r="Q123" s="289"/>
      <c r="R123" s="289"/>
      <c r="S123" s="289"/>
      <c r="T123" s="289"/>
      <c r="U123" s="289"/>
      <c r="V123" s="289"/>
      <c r="X123" s="329"/>
    </row>
    <row r="124" spans="3:24" ht="15.75" customHeight="1">
      <c r="C124" s="328"/>
      <c r="D124" s="289"/>
      <c r="E124" s="289"/>
      <c r="F124" s="289"/>
      <c r="G124" s="289"/>
      <c r="H124" s="289"/>
      <c r="I124" s="611"/>
      <c r="J124" s="289"/>
      <c r="K124" s="289"/>
      <c r="L124" s="289"/>
      <c r="M124" s="289"/>
      <c r="N124" s="289"/>
      <c r="O124" s="289"/>
      <c r="P124" s="289"/>
      <c r="Q124" s="289"/>
      <c r="R124" s="289"/>
      <c r="S124" s="289"/>
      <c r="T124" s="289"/>
      <c r="U124" s="289"/>
      <c r="V124" s="289"/>
      <c r="X124" s="329"/>
    </row>
    <row r="125" spans="3:24" ht="15.75" customHeight="1">
      <c r="C125" s="328"/>
      <c r="D125" s="289"/>
      <c r="E125" s="289"/>
      <c r="F125" s="289"/>
      <c r="G125" s="289"/>
      <c r="H125" s="289"/>
      <c r="I125" s="611"/>
      <c r="J125" s="289"/>
      <c r="K125" s="289"/>
      <c r="L125" s="289"/>
      <c r="M125" s="289"/>
      <c r="N125" s="289"/>
      <c r="O125" s="289"/>
      <c r="P125" s="289"/>
      <c r="Q125" s="289"/>
      <c r="R125" s="289"/>
      <c r="S125" s="289"/>
      <c r="T125" s="289"/>
      <c r="U125" s="289"/>
      <c r="V125" s="289"/>
      <c r="X125" s="329"/>
    </row>
    <row r="126" spans="3:24" ht="15.75" customHeight="1">
      <c r="C126" s="328"/>
      <c r="D126" s="289"/>
      <c r="E126" s="289"/>
      <c r="F126" s="289"/>
      <c r="G126" s="289"/>
      <c r="H126" s="289"/>
      <c r="I126" s="611"/>
      <c r="J126" s="289"/>
      <c r="K126" s="289"/>
      <c r="L126" s="289"/>
      <c r="M126" s="289"/>
      <c r="N126" s="289"/>
      <c r="O126" s="289"/>
      <c r="P126" s="289"/>
      <c r="Q126" s="289"/>
      <c r="R126" s="289"/>
      <c r="S126" s="289"/>
      <c r="T126" s="289"/>
      <c r="U126" s="289"/>
      <c r="V126" s="289"/>
      <c r="X126" s="329"/>
    </row>
    <row r="127" spans="3:24" ht="15.75" customHeight="1">
      <c r="C127" s="328"/>
      <c r="D127" s="289"/>
      <c r="E127" s="289"/>
      <c r="F127" s="289"/>
      <c r="G127" s="289"/>
      <c r="H127" s="289"/>
      <c r="I127" s="611"/>
      <c r="J127" s="289"/>
      <c r="K127" s="289"/>
      <c r="L127" s="289"/>
      <c r="M127" s="289"/>
      <c r="N127" s="289"/>
      <c r="O127" s="289"/>
      <c r="P127" s="289"/>
      <c r="Q127" s="289"/>
      <c r="R127" s="289"/>
      <c r="S127" s="289"/>
      <c r="T127" s="289"/>
      <c r="U127" s="289"/>
      <c r="V127" s="289"/>
      <c r="X127" s="329"/>
    </row>
    <row r="128" spans="3:24" ht="15.75" customHeight="1">
      <c r="C128" s="328"/>
      <c r="D128" s="289"/>
      <c r="E128" s="289"/>
      <c r="F128" s="289"/>
      <c r="G128" s="289"/>
      <c r="H128" s="289"/>
      <c r="I128" s="611"/>
      <c r="J128" s="289"/>
      <c r="K128" s="289"/>
      <c r="L128" s="289"/>
      <c r="M128" s="289"/>
      <c r="N128" s="289"/>
      <c r="O128" s="289"/>
      <c r="P128" s="289"/>
      <c r="Q128" s="289"/>
      <c r="R128" s="289"/>
      <c r="S128" s="289"/>
      <c r="T128" s="289"/>
      <c r="U128" s="289"/>
      <c r="V128" s="289"/>
      <c r="X128" s="329"/>
    </row>
    <row r="129" spans="3:24" ht="15.75" customHeight="1">
      <c r="C129" s="328"/>
      <c r="D129" s="289"/>
      <c r="E129" s="289"/>
      <c r="F129" s="289"/>
      <c r="G129" s="289"/>
      <c r="H129" s="289"/>
      <c r="I129" s="611"/>
      <c r="J129" s="289"/>
      <c r="K129" s="289"/>
      <c r="L129" s="289"/>
      <c r="M129" s="289"/>
      <c r="N129" s="289"/>
      <c r="O129" s="289"/>
      <c r="P129" s="289"/>
      <c r="Q129" s="289"/>
      <c r="R129" s="289"/>
      <c r="S129" s="289"/>
      <c r="T129" s="289"/>
      <c r="U129" s="289"/>
      <c r="V129" s="289"/>
      <c r="X129" s="329"/>
    </row>
    <row r="130" spans="3:24" ht="15.75" customHeight="1">
      <c r="C130" s="328"/>
      <c r="D130" s="289"/>
      <c r="E130" s="289"/>
      <c r="F130" s="289"/>
      <c r="G130" s="289"/>
      <c r="H130" s="289"/>
      <c r="I130" s="611"/>
      <c r="J130" s="289"/>
      <c r="K130" s="289"/>
      <c r="L130" s="289"/>
      <c r="M130" s="289"/>
      <c r="N130" s="289"/>
      <c r="O130" s="289"/>
      <c r="P130" s="289"/>
      <c r="Q130" s="289"/>
      <c r="R130" s="289"/>
      <c r="S130" s="289"/>
      <c r="T130" s="289"/>
      <c r="U130" s="289"/>
      <c r="V130" s="289"/>
      <c r="X130" s="329"/>
    </row>
    <row r="131" spans="3:24" ht="15.75" customHeight="1">
      <c r="C131" s="328"/>
      <c r="D131" s="289"/>
      <c r="E131" s="289"/>
      <c r="F131" s="289"/>
      <c r="G131" s="289"/>
      <c r="H131" s="289"/>
      <c r="I131" s="611"/>
      <c r="J131" s="289"/>
      <c r="K131" s="289"/>
      <c r="L131" s="289"/>
      <c r="M131" s="289"/>
      <c r="N131" s="289"/>
      <c r="O131" s="289"/>
      <c r="P131" s="289"/>
      <c r="Q131" s="289"/>
      <c r="R131" s="289"/>
      <c r="S131" s="289"/>
      <c r="T131" s="289"/>
      <c r="U131" s="289"/>
      <c r="V131" s="289"/>
      <c r="X131" s="329"/>
    </row>
    <row r="132" spans="3:24" ht="15.75" customHeight="1">
      <c r="C132" s="328"/>
      <c r="D132" s="289"/>
      <c r="E132" s="289"/>
      <c r="F132" s="289"/>
      <c r="G132" s="289"/>
      <c r="H132" s="289"/>
      <c r="I132" s="611"/>
      <c r="J132" s="289"/>
      <c r="K132" s="289"/>
      <c r="L132" s="289"/>
      <c r="M132" s="289"/>
      <c r="N132" s="289"/>
      <c r="O132" s="289"/>
      <c r="P132" s="289"/>
      <c r="Q132" s="289"/>
      <c r="R132" s="289"/>
      <c r="S132" s="289"/>
      <c r="T132" s="289"/>
      <c r="U132" s="289"/>
      <c r="V132" s="289"/>
      <c r="X132" s="329"/>
    </row>
    <row r="133" spans="3:24" ht="15.75" customHeight="1">
      <c r="C133" s="328"/>
      <c r="D133" s="289"/>
      <c r="E133" s="289"/>
      <c r="F133" s="289"/>
      <c r="G133" s="289"/>
      <c r="H133" s="289"/>
      <c r="I133" s="611"/>
      <c r="J133" s="289"/>
      <c r="K133" s="289"/>
      <c r="L133" s="289"/>
      <c r="M133" s="289"/>
      <c r="N133" s="289"/>
      <c r="O133" s="289"/>
      <c r="P133" s="289"/>
      <c r="Q133" s="289"/>
      <c r="R133" s="289"/>
      <c r="S133" s="289"/>
      <c r="T133" s="289"/>
      <c r="U133" s="289"/>
      <c r="V133" s="289"/>
      <c r="X133" s="329"/>
    </row>
    <row r="134" spans="3:24" ht="15.75" customHeight="1">
      <c r="C134" s="328"/>
      <c r="D134" s="289"/>
      <c r="E134" s="289"/>
      <c r="F134" s="289"/>
      <c r="G134" s="289"/>
      <c r="H134" s="289"/>
      <c r="I134" s="611"/>
      <c r="J134" s="289"/>
      <c r="K134" s="289"/>
      <c r="L134" s="289"/>
      <c r="M134" s="289"/>
      <c r="N134" s="289"/>
      <c r="O134" s="289"/>
      <c r="P134" s="289"/>
      <c r="Q134" s="289"/>
      <c r="R134" s="289"/>
      <c r="S134" s="289"/>
      <c r="T134" s="289"/>
      <c r="U134" s="289"/>
      <c r="V134" s="289"/>
      <c r="X134" s="329"/>
    </row>
    <row r="135" spans="3:24" ht="15.75" customHeight="1">
      <c r="C135" s="328"/>
      <c r="D135" s="289"/>
      <c r="E135" s="289"/>
      <c r="F135" s="289"/>
      <c r="G135" s="289"/>
      <c r="H135" s="289"/>
      <c r="I135" s="611"/>
      <c r="J135" s="289"/>
      <c r="K135" s="289"/>
      <c r="L135" s="289"/>
      <c r="M135" s="289"/>
      <c r="N135" s="289"/>
      <c r="O135" s="289"/>
      <c r="P135" s="289"/>
      <c r="Q135" s="289"/>
      <c r="R135" s="289"/>
      <c r="S135" s="289"/>
      <c r="T135" s="289"/>
      <c r="U135" s="289"/>
      <c r="V135" s="289"/>
      <c r="X135" s="329"/>
    </row>
    <row r="136" spans="3:24" ht="15.75" customHeight="1">
      <c r="C136" s="328"/>
      <c r="D136" s="289"/>
      <c r="E136" s="289"/>
      <c r="F136" s="289"/>
      <c r="G136" s="289"/>
      <c r="H136" s="289"/>
      <c r="I136" s="611"/>
      <c r="J136" s="289"/>
      <c r="K136" s="289"/>
      <c r="L136" s="289"/>
      <c r="M136" s="289"/>
      <c r="N136" s="289"/>
      <c r="O136" s="289"/>
      <c r="P136" s="289"/>
      <c r="Q136" s="289"/>
      <c r="R136" s="289"/>
      <c r="S136" s="289"/>
      <c r="T136" s="289"/>
      <c r="U136" s="289"/>
      <c r="V136" s="289"/>
      <c r="X136" s="329"/>
    </row>
    <row r="137" spans="3:24" ht="15.75" customHeight="1">
      <c r="C137" s="328"/>
      <c r="D137" s="289"/>
      <c r="E137" s="289"/>
      <c r="F137" s="289"/>
      <c r="G137" s="289"/>
      <c r="H137" s="289"/>
      <c r="I137" s="611"/>
      <c r="J137" s="289"/>
      <c r="K137" s="289"/>
      <c r="L137" s="289"/>
      <c r="M137" s="289"/>
      <c r="N137" s="289"/>
      <c r="O137" s="289"/>
      <c r="P137" s="289"/>
      <c r="Q137" s="289"/>
      <c r="R137" s="289"/>
      <c r="S137" s="289"/>
      <c r="T137" s="289"/>
      <c r="U137" s="289"/>
      <c r="V137" s="289"/>
      <c r="X137" s="329"/>
    </row>
    <row r="138" spans="3:24" ht="15.75" customHeight="1">
      <c r="C138" s="328"/>
      <c r="D138" s="289"/>
      <c r="E138" s="289"/>
      <c r="F138" s="289"/>
      <c r="G138" s="289"/>
      <c r="H138" s="289"/>
      <c r="I138" s="611"/>
      <c r="J138" s="289"/>
      <c r="K138" s="289"/>
      <c r="L138" s="289"/>
      <c r="M138" s="289"/>
      <c r="N138" s="289"/>
      <c r="O138" s="289"/>
      <c r="P138" s="289"/>
      <c r="Q138" s="289"/>
      <c r="R138" s="289"/>
      <c r="S138" s="289"/>
      <c r="T138" s="289"/>
      <c r="U138" s="289"/>
      <c r="V138" s="289"/>
      <c r="X138" s="329"/>
    </row>
    <row r="139" spans="3:24" ht="15.75" customHeight="1">
      <c r="C139" s="328"/>
      <c r="D139" s="289"/>
      <c r="E139" s="289"/>
      <c r="F139" s="289"/>
      <c r="G139" s="289"/>
      <c r="H139" s="289"/>
      <c r="I139" s="611"/>
      <c r="J139" s="289"/>
      <c r="K139" s="289"/>
      <c r="L139" s="289"/>
      <c r="M139" s="289"/>
      <c r="N139" s="289"/>
      <c r="O139" s="289"/>
      <c r="P139" s="289"/>
      <c r="Q139" s="289"/>
      <c r="R139" s="289"/>
      <c r="S139" s="289"/>
      <c r="T139" s="289"/>
      <c r="U139" s="289"/>
      <c r="V139" s="289"/>
      <c r="X139" s="329"/>
    </row>
    <row r="140" spans="3:24" ht="15.75" customHeight="1">
      <c r="C140" s="328"/>
      <c r="D140" s="289"/>
      <c r="E140" s="289"/>
      <c r="F140" s="289"/>
      <c r="G140" s="289"/>
      <c r="H140" s="289"/>
      <c r="I140" s="611"/>
      <c r="J140" s="289"/>
      <c r="K140" s="289"/>
      <c r="L140" s="289"/>
      <c r="M140" s="289"/>
      <c r="N140" s="289"/>
      <c r="O140" s="289"/>
      <c r="P140" s="289"/>
      <c r="Q140" s="289"/>
      <c r="R140" s="289"/>
      <c r="S140" s="289"/>
      <c r="T140" s="289"/>
      <c r="U140" s="289"/>
      <c r="V140" s="289"/>
      <c r="X140" s="329"/>
    </row>
    <row r="141" spans="3:24" ht="15.75" customHeight="1">
      <c r="C141" s="328"/>
      <c r="D141" s="289"/>
      <c r="E141" s="289"/>
      <c r="F141" s="289"/>
      <c r="G141" s="289"/>
      <c r="H141" s="289"/>
      <c r="I141" s="611"/>
      <c r="J141" s="289"/>
      <c r="K141" s="289"/>
      <c r="L141" s="289"/>
      <c r="M141" s="289"/>
      <c r="N141" s="289"/>
      <c r="O141" s="289"/>
      <c r="P141" s="289"/>
      <c r="Q141" s="289"/>
      <c r="R141" s="289"/>
      <c r="S141" s="289"/>
      <c r="T141" s="289"/>
      <c r="U141" s="289"/>
      <c r="V141" s="289"/>
      <c r="X141" s="329"/>
    </row>
    <row r="142" spans="3:24" ht="15.75" customHeight="1">
      <c r="C142" s="328"/>
      <c r="D142" s="289"/>
      <c r="E142" s="289"/>
      <c r="F142" s="289"/>
      <c r="G142" s="289"/>
      <c r="H142" s="289"/>
      <c r="I142" s="611"/>
      <c r="J142" s="289"/>
      <c r="K142" s="289"/>
      <c r="L142" s="289"/>
      <c r="M142" s="289"/>
      <c r="N142" s="289"/>
      <c r="O142" s="289"/>
      <c r="P142" s="289"/>
      <c r="Q142" s="289"/>
      <c r="R142" s="289"/>
      <c r="S142" s="289"/>
      <c r="T142" s="289"/>
      <c r="U142" s="289"/>
      <c r="V142" s="289"/>
      <c r="X142" s="329"/>
    </row>
    <row r="143" spans="3:24" ht="15.75" customHeight="1">
      <c r="C143" s="328"/>
      <c r="D143" s="289"/>
      <c r="E143" s="289"/>
      <c r="F143" s="289"/>
      <c r="G143" s="289"/>
      <c r="H143" s="289"/>
      <c r="I143" s="611"/>
      <c r="J143" s="289"/>
      <c r="K143" s="289"/>
      <c r="L143" s="289"/>
      <c r="M143" s="289"/>
      <c r="N143" s="289"/>
      <c r="O143" s="289"/>
      <c r="P143" s="289"/>
      <c r="Q143" s="289"/>
      <c r="R143" s="289"/>
      <c r="S143" s="289"/>
      <c r="T143" s="289"/>
      <c r="U143" s="289"/>
      <c r="V143" s="289"/>
      <c r="X143" s="329"/>
    </row>
    <row r="144" spans="3:24" ht="15.75" customHeight="1">
      <c r="C144" s="328"/>
      <c r="D144" s="289"/>
      <c r="E144" s="289"/>
      <c r="F144" s="289"/>
      <c r="G144" s="289"/>
      <c r="H144" s="289"/>
      <c r="I144" s="611"/>
      <c r="J144" s="289"/>
      <c r="K144" s="289"/>
      <c r="L144" s="289"/>
      <c r="M144" s="289"/>
      <c r="N144" s="289"/>
      <c r="O144" s="289"/>
      <c r="P144" s="289"/>
      <c r="Q144" s="289"/>
      <c r="R144" s="289"/>
      <c r="S144" s="289"/>
      <c r="T144" s="289"/>
      <c r="U144" s="289"/>
      <c r="V144" s="289"/>
      <c r="X144" s="329"/>
    </row>
    <row r="145" spans="3:24" ht="15.75" customHeight="1">
      <c r="C145" s="328"/>
      <c r="D145" s="289"/>
      <c r="E145" s="289"/>
      <c r="F145" s="289"/>
      <c r="G145" s="289"/>
      <c r="H145" s="289"/>
      <c r="I145" s="611"/>
      <c r="J145" s="289"/>
      <c r="K145" s="289"/>
      <c r="L145" s="289"/>
      <c r="M145" s="289"/>
      <c r="N145" s="289"/>
      <c r="O145" s="289"/>
      <c r="P145" s="289"/>
      <c r="Q145" s="289"/>
      <c r="R145" s="289"/>
      <c r="S145" s="289"/>
      <c r="T145" s="289"/>
      <c r="U145" s="289"/>
      <c r="V145" s="289"/>
      <c r="X145" s="329"/>
    </row>
    <row r="146" spans="3:24" ht="15.75" customHeight="1">
      <c r="C146" s="328"/>
      <c r="D146" s="289"/>
      <c r="E146" s="289"/>
      <c r="F146" s="289"/>
      <c r="G146" s="289"/>
      <c r="H146" s="289"/>
      <c r="I146" s="611"/>
      <c r="J146" s="289"/>
      <c r="K146" s="289"/>
      <c r="L146" s="289"/>
      <c r="M146" s="289"/>
      <c r="N146" s="289"/>
      <c r="O146" s="289"/>
      <c r="P146" s="289"/>
      <c r="Q146" s="289"/>
      <c r="R146" s="289"/>
      <c r="S146" s="289"/>
      <c r="T146" s="289"/>
      <c r="U146" s="289"/>
      <c r="V146" s="289"/>
      <c r="X146" s="329"/>
    </row>
    <row r="147" spans="3:24" ht="15.75" customHeight="1">
      <c r="C147" s="328"/>
      <c r="D147" s="289"/>
      <c r="E147" s="289"/>
      <c r="F147" s="289"/>
      <c r="G147" s="289"/>
      <c r="H147" s="289"/>
      <c r="I147" s="611"/>
      <c r="J147" s="289"/>
      <c r="K147" s="289"/>
      <c r="L147" s="289"/>
      <c r="M147" s="289"/>
      <c r="N147" s="289"/>
      <c r="O147" s="289"/>
      <c r="P147" s="289"/>
      <c r="Q147" s="289"/>
      <c r="R147" s="289"/>
      <c r="S147" s="289"/>
      <c r="T147" s="289"/>
      <c r="U147" s="289"/>
      <c r="V147" s="289"/>
      <c r="X147" s="329"/>
    </row>
    <row r="148" spans="3:24" ht="15.75" customHeight="1">
      <c r="C148" s="328"/>
      <c r="D148" s="289"/>
      <c r="E148" s="289"/>
      <c r="F148" s="289"/>
      <c r="G148" s="289"/>
      <c r="H148" s="289"/>
      <c r="I148" s="611"/>
      <c r="J148" s="289"/>
      <c r="K148" s="289"/>
      <c r="L148" s="289"/>
      <c r="M148" s="289"/>
      <c r="N148" s="289"/>
      <c r="O148" s="289"/>
      <c r="P148" s="289"/>
      <c r="Q148" s="289"/>
      <c r="R148" s="289"/>
      <c r="S148" s="289"/>
      <c r="T148" s="289"/>
      <c r="U148" s="289"/>
      <c r="V148" s="289"/>
      <c r="X148" s="329"/>
    </row>
    <row r="149" spans="3:24" ht="15.75" customHeight="1">
      <c r="C149" s="328"/>
      <c r="D149" s="289"/>
      <c r="E149" s="289"/>
      <c r="F149" s="289"/>
      <c r="G149" s="289"/>
      <c r="H149" s="289"/>
      <c r="I149" s="611"/>
      <c r="J149" s="289"/>
      <c r="K149" s="289"/>
      <c r="L149" s="289"/>
      <c r="M149" s="289"/>
      <c r="N149" s="289"/>
      <c r="O149" s="289"/>
      <c r="P149" s="289"/>
      <c r="Q149" s="289"/>
      <c r="R149" s="289"/>
      <c r="S149" s="289"/>
      <c r="T149" s="289"/>
      <c r="U149" s="289"/>
      <c r="V149" s="289"/>
      <c r="X149" s="329"/>
    </row>
    <row r="150" spans="3:24" ht="15.75" customHeight="1">
      <c r="C150" s="328"/>
      <c r="D150" s="289"/>
      <c r="E150" s="289"/>
      <c r="F150" s="289"/>
      <c r="G150" s="289"/>
      <c r="H150" s="289"/>
      <c r="I150" s="611"/>
      <c r="J150" s="289"/>
      <c r="K150" s="289"/>
      <c r="L150" s="289"/>
      <c r="M150" s="289"/>
      <c r="N150" s="289"/>
      <c r="O150" s="289"/>
      <c r="P150" s="289"/>
      <c r="Q150" s="289"/>
      <c r="R150" s="289"/>
      <c r="S150" s="289"/>
      <c r="T150" s="289"/>
      <c r="U150" s="289"/>
      <c r="V150" s="289"/>
      <c r="X150" s="329"/>
    </row>
    <row r="151" spans="3:24" ht="15.75" customHeight="1">
      <c r="C151" s="328"/>
      <c r="D151" s="289"/>
      <c r="E151" s="289"/>
      <c r="F151" s="289"/>
      <c r="G151" s="289"/>
      <c r="H151" s="289"/>
      <c r="I151" s="611"/>
      <c r="J151" s="289"/>
      <c r="K151" s="289"/>
      <c r="L151" s="289"/>
      <c r="M151" s="289"/>
      <c r="N151" s="289"/>
      <c r="O151" s="289"/>
      <c r="P151" s="289"/>
      <c r="Q151" s="289"/>
      <c r="R151" s="289"/>
      <c r="S151" s="289"/>
      <c r="T151" s="289"/>
      <c r="U151" s="289"/>
      <c r="V151" s="289"/>
      <c r="X151" s="329"/>
    </row>
    <row r="152" spans="3:24" ht="15.75" customHeight="1">
      <c r="C152" s="328"/>
      <c r="D152" s="289"/>
      <c r="E152" s="289"/>
      <c r="F152" s="289"/>
      <c r="G152" s="289"/>
      <c r="H152" s="289"/>
      <c r="I152" s="611"/>
      <c r="J152" s="289"/>
      <c r="K152" s="289"/>
      <c r="L152" s="289"/>
      <c r="M152" s="289"/>
      <c r="N152" s="289"/>
      <c r="O152" s="289"/>
      <c r="P152" s="289"/>
      <c r="Q152" s="289"/>
      <c r="R152" s="289"/>
      <c r="S152" s="289"/>
      <c r="T152" s="289"/>
      <c r="U152" s="289"/>
      <c r="V152" s="289"/>
      <c r="X152" s="329"/>
    </row>
    <row r="153" spans="3:24" ht="15.75" customHeight="1">
      <c r="C153" s="328"/>
      <c r="D153" s="289"/>
      <c r="E153" s="289"/>
      <c r="F153" s="289"/>
      <c r="G153" s="289"/>
      <c r="H153" s="289"/>
      <c r="I153" s="611"/>
      <c r="J153" s="289"/>
      <c r="K153" s="289"/>
      <c r="L153" s="289"/>
      <c r="M153" s="289"/>
      <c r="N153" s="289"/>
      <c r="O153" s="289"/>
      <c r="P153" s="289"/>
      <c r="Q153" s="289"/>
      <c r="R153" s="289"/>
      <c r="S153" s="289"/>
      <c r="T153" s="289"/>
      <c r="U153" s="289"/>
      <c r="V153" s="289"/>
      <c r="X153" s="329"/>
    </row>
    <row r="154" spans="3:24" ht="15.75" customHeight="1">
      <c r="C154" s="328"/>
      <c r="D154" s="289"/>
      <c r="E154" s="289"/>
      <c r="F154" s="289"/>
      <c r="G154" s="289"/>
      <c r="H154" s="289"/>
      <c r="I154" s="611"/>
      <c r="J154" s="289"/>
      <c r="K154" s="289"/>
      <c r="L154" s="289"/>
      <c r="M154" s="289"/>
      <c r="N154" s="289"/>
      <c r="O154" s="289"/>
      <c r="P154" s="289"/>
      <c r="Q154" s="289"/>
      <c r="R154" s="289"/>
      <c r="S154" s="289"/>
      <c r="T154" s="289"/>
      <c r="U154" s="289"/>
      <c r="V154" s="289"/>
      <c r="X154" s="329"/>
    </row>
    <row r="155" spans="3:24" ht="15.75" customHeight="1">
      <c r="C155" s="328"/>
      <c r="D155" s="289"/>
      <c r="E155" s="289"/>
      <c r="F155" s="289"/>
      <c r="G155" s="289"/>
      <c r="H155" s="289"/>
      <c r="I155" s="611"/>
      <c r="J155" s="289"/>
      <c r="K155" s="289"/>
      <c r="L155" s="289"/>
      <c r="M155" s="289"/>
      <c r="N155" s="289"/>
      <c r="O155" s="289"/>
      <c r="P155" s="289"/>
      <c r="Q155" s="289"/>
      <c r="R155" s="289"/>
      <c r="S155" s="289"/>
      <c r="T155" s="289"/>
      <c r="U155" s="289"/>
      <c r="V155" s="289"/>
      <c r="X155" s="329"/>
    </row>
    <row r="156" spans="3:24" ht="15.75" customHeight="1">
      <c r="C156" s="328"/>
      <c r="D156" s="289"/>
      <c r="E156" s="289"/>
      <c r="F156" s="289"/>
      <c r="G156" s="289"/>
      <c r="H156" s="289"/>
      <c r="I156" s="611"/>
      <c r="J156" s="289"/>
      <c r="K156" s="289"/>
      <c r="L156" s="289"/>
      <c r="M156" s="289"/>
      <c r="N156" s="289"/>
      <c r="O156" s="289"/>
      <c r="P156" s="289"/>
      <c r="Q156" s="289"/>
      <c r="R156" s="289"/>
      <c r="S156" s="289"/>
      <c r="T156" s="289"/>
      <c r="U156" s="289"/>
      <c r="V156" s="289"/>
      <c r="X156" s="329"/>
    </row>
    <row r="157" spans="3:24" ht="15.75" customHeight="1">
      <c r="C157" s="328"/>
      <c r="D157" s="289"/>
      <c r="E157" s="289"/>
      <c r="F157" s="289"/>
      <c r="G157" s="289"/>
      <c r="H157" s="289"/>
      <c r="I157" s="611"/>
      <c r="J157" s="289"/>
      <c r="K157" s="289"/>
      <c r="L157" s="289"/>
      <c r="M157" s="289"/>
      <c r="N157" s="289"/>
      <c r="O157" s="289"/>
      <c r="P157" s="289"/>
      <c r="Q157" s="289"/>
      <c r="R157" s="289"/>
      <c r="S157" s="289"/>
      <c r="T157" s="289"/>
      <c r="U157" s="289"/>
      <c r="V157" s="289"/>
      <c r="X157" s="329"/>
    </row>
    <row r="158" spans="3:24" ht="15.75" customHeight="1">
      <c r="C158" s="328"/>
      <c r="D158" s="289"/>
      <c r="E158" s="289"/>
      <c r="F158" s="289"/>
      <c r="G158" s="289"/>
      <c r="H158" s="289"/>
      <c r="I158" s="611"/>
      <c r="J158" s="289"/>
      <c r="K158" s="289"/>
      <c r="L158" s="289"/>
      <c r="M158" s="289"/>
      <c r="N158" s="289"/>
      <c r="O158" s="289"/>
      <c r="P158" s="289"/>
      <c r="Q158" s="289"/>
      <c r="R158" s="289"/>
      <c r="S158" s="289"/>
      <c r="T158" s="289"/>
      <c r="U158" s="289"/>
      <c r="V158" s="289"/>
      <c r="X158" s="329"/>
    </row>
    <row r="159" spans="3:24" ht="15.75" customHeight="1">
      <c r="C159" s="328"/>
      <c r="D159" s="289"/>
      <c r="E159" s="289"/>
      <c r="F159" s="289"/>
      <c r="G159" s="289"/>
      <c r="H159" s="289"/>
      <c r="I159" s="611"/>
      <c r="J159" s="289"/>
      <c r="K159" s="289"/>
      <c r="L159" s="289"/>
      <c r="M159" s="289"/>
      <c r="N159" s="289"/>
      <c r="O159" s="289"/>
      <c r="P159" s="289"/>
      <c r="Q159" s="289"/>
      <c r="R159" s="289"/>
      <c r="S159" s="289"/>
      <c r="T159" s="289"/>
      <c r="U159" s="289"/>
      <c r="V159" s="289"/>
      <c r="X159" s="329"/>
    </row>
    <row r="160" spans="3:24" ht="15.75" customHeight="1">
      <c r="C160" s="328"/>
      <c r="D160" s="289"/>
      <c r="E160" s="289"/>
      <c r="F160" s="289"/>
      <c r="G160" s="289"/>
      <c r="H160" s="289"/>
      <c r="I160" s="611"/>
      <c r="J160" s="289"/>
      <c r="K160" s="289"/>
      <c r="L160" s="289"/>
      <c r="M160" s="289"/>
      <c r="N160" s="289"/>
      <c r="O160" s="289"/>
      <c r="P160" s="289"/>
      <c r="Q160" s="289"/>
      <c r="R160" s="289"/>
      <c r="S160" s="289"/>
      <c r="T160" s="289"/>
      <c r="U160" s="289"/>
      <c r="V160" s="289"/>
      <c r="X160" s="329"/>
    </row>
    <row r="161" spans="3:24" ht="15.75" customHeight="1">
      <c r="C161" s="328"/>
      <c r="D161" s="289"/>
      <c r="E161" s="289"/>
      <c r="F161" s="289"/>
      <c r="G161" s="289"/>
      <c r="H161" s="289"/>
      <c r="I161" s="611"/>
      <c r="J161" s="289"/>
      <c r="K161" s="289"/>
      <c r="L161" s="289"/>
      <c r="M161" s="289"/>
      <c r="N161" s="289"/>
      <c r="O161" s="289"/>
      <c r="P161" s="289"/>
      <c r="Q161" s="289"/>
      <c r="R161" s="289"/>
      <c r="S161" s="289"/>
      <c r="T161" s="289"/>
      <c r="U161" s="289"/>
      <c r="V161" s="289"/>
      <c r="X161" s="329"/>
    </row>
    <row r="162" spans="3:24" ht="15.75" customHeight="1">
      <c r="C162" s="328"/>
      <c r="D162" s="289"/>
      <c r="E162" s="289"/>
      <c r="F162" s="289"/>
      <c r="G162" s="289"/>
      <c r="H162" s="289"/>
      <c r="I162" s="611"/>
      <c r="J162" s="289"/>
      <c r="K162" s="289"/>
      <c r="L162" s="289"/>
      <c r="M162" s="289"/>
      <c r="N162" s="289"/>
      <c r="O162" s="289"/>
      <c r="P162" s="289"/>
      <c r="Q162" s="289"/>
      <c r="R162" s="289"/>
      <c r="S162" s="289"/>
      <c r="T162" s="289"/>
      <c r="U162" s="289"/>
      <c r="V162" s="289"/>
      <c r="X162" s="329"/>
    </row>
    <row r="163" spans="3:24" ht="15.75" customHeight="1">
      <c r="C163" s="328"/>
      <c r="D163" s="289"/>
      <c r="E163" s="289"/>
      <c r="F163" s="289"/>
      <c r="G163" s="289"/>
      <c r="H163" s="289"/>
      <c r="I163" s="611"/>
      <c r="J163" s="289"/>
      <c r="K163" s="289"/>
      <c r="L163" s="289"/>
      <c r="M163" s="289"/>
      <c r="N163" s="289"/>
      <c r="O163" s="289"/>
      <c r="P163" s="289"/>
      <c r="Q163" s="289"/>
      <c r="R163" s="289"/>
      <c r="S163" s="289"/>
      <c r="T163" s="289"/>
      <c r="U163" s="289"/>
      <c r="V163" s="289"/>
      <c r="X163" s="329"/>
    </row>
    <row r="164" spans="3:24" ht="15.75" customHeight="1">
      <c r="C164" s="328"/>
      <c r="D164" s="289"/>
      <c r="E164" s="289"/>
      <c r="F164" s="289"/>
      <c r="G164" s="289"/>
      <c r="H164" s="289"/>
      <c r="I164" s="611"/>
      <c r="J164" s="289"/>
      <c r="K164" s="289"/>
      <c r="L164" s="289"/>
      <c r="M164" s="289"/>
      <c r="N164" s="289"/>
      <c r="O164" s="289"/>
      <c r="P164" s="289"/>
      <c r="Q164" s="289"/>
      <c r="R164" s="289"/>
      <c r="S164" s="289"/>
      <c r="T164" s="289"/>
      <c r="U164" s="289"/>
      <c r="V164" s="289"/>
      <c r="X164" s="329"/>
    </row>
    <row r="165" spans="3:24" ht="15.75" customHeight="1">
      <c r="C165" s="328"/>
      <c r="D165" s="289"/>
      <c r="E165" s="289"/>
      <c r="F165" s="289"/>
      <c r="G165" s="289"/>
      <c r="H165" s="289"/>
      <c r="I165" s="611"/>
      <c r="J165" s="289"/>
      <c r="K165" s="289"/>
      <c r="L165" s="289"/>
      <c r="M165" s="289"/>
      <c r="N165" s="289"/>
      <c r="O165" s="289"/>
      <c r="P165" s="289"/>
      <c r="Q165" s="289"/>
      <c r="R165" s="289"/>
      <c r="S165" s="289"/>
      <c r="T165" s="289"/>
      <c r="U165" s="289"/>
      <c r="V165" s="289"/>
      <c r="X165" s="329"/>
    </row>
    <row r="166" spans="3:24" ht="15.75" customHeight="1">
      <c r="C166" s="328"/>
      <c r="D166" s="289"/>
      <c r="E166" s="289"/>
      <c r="F166" s="289"/>
      <c r="G166" s="289"/>
      <c r="H166" s="289"/>
      <c r="I166" s="611"/>
      <c r="J166" s="289"/>
      <c r="K166" s="289"/>
      <c r="L166" s="289"/>
      <c r="M166" s="289"/>
      <c r="N166" s="289"/>
      <c r="O166" s="289"/>
      <c r="P166" s="289"/>
      <c r="Q166" s="289"/>
      <c r="R166" s="289"/>
      <c r="S166" s="289"/>
      <c r="T166" s="289"/>
      <c r="U166" s="289"/>
      <c r="V166" s="289"/>
      <c r="X166" s="329"/>
    </row>
    <row r="167" spans="3:24" ht="15.75" customHeight="1">
      <c r="C167" s="328"/>
      <c r="D167" s="289"/>
      <c r="E167" s="289"/>
      <c r="F167" s="289"/>
      <c r="G167" s="289"/>
      <c r="H167" s="289"/>
      <c r="I167" s="611"/>
      <c r="J167" s="289"/>
      <c r="K167" s="289"/>
      <c r="L167" s="289"/>
      <c r="M167" s="289"/>
      <c r="N167" s="289"/>
      <c r="O167" s="289"/>
      <c r="P167" s="289"/>
      <c r="Q167" s="289"/>
      <c r="R167" s="289"/>
      <c r="S167" s="289"/>
      <c r="T167" s="289"/>
      <c r="U167" s="289"/>
      <c r="V167" s="289"/>
      <c r="X167" s="329"/>
    </row>
    <row r="168" spans="3:24" ht="15.75" customHeight="1">
      <c r="C168" s="328"/>
      <c r="D168" s="289"/>
      <c r="E168" s="289"/>
      <c r="F168" s="289"/>
      <c r="G168" s="289"/>
      <c r="H168" s="289"/>
      <c r="I168" s="611"/>
      <c r="J168" s="289"/>
      <c r="K168" s="289"/>
      <c r="L168" s="289"/>
      <c r="M168" s="289"/>
      <c r="N168" s="289"/>
      <c r="O168" s="289"/>
      <c r="P168" s="289"/>
      <c r="Q168" s="289"/>
      <c r="R168" s="289"/>
      <c r="S168" s="289"/>
      <c r="T168" s="289"/>
      <c r="U168" s="289"/>
      <c r="V168" s="289"/>
      <c r="X168" s="329"/>
    </row>
    <row r="169" spans="3:24" ht="15.75" customHeight="1">
      <c r="C169" s="328"/>
      <c r="D169" s="289"/>
      <c r="E169" s="289"/>
      <c r="F169" s="289"/>
      <c r="G169" s="289"/>
      <c r="H169" s="289"/>
      <c r="I169" s="611"/>
      <c r="J169" s="289"/>
      <c r="K169" s="289"/>
      <c r="L169" s="289"/>
      <c r="M169" s="289"/>
      <c r="N169" s="289"/>
      <c r="O169" s="289"/>
      <c r="P169" s="289"/>
      <c r="Q169" s="289"/>
      <c r="R169" s="289"/>
      <c r="S169" s="289"/>
      <c r="T169" s="289"/>
      <c r="U169" s="289"/>
      <c r="V169" s="289"/>
      <c r="X169" s="329"/>
    </row>
    <row r="170" spans="3:24" ht="15.75" customHeight="1">
      <c r="C170" s="328"/>
      <c r="D170" s="289"/>
      <c r="E170" s="289"/>
      <c r="F170" s="289"/>
      <c r="G170" s="289"/>
      <c r="H170" s="289"/>
      <c r="I170" s="611"/>
      <c r="J170" s="289"/>
      <c r="K170" s="289"/>
      <c r="L170" s="289"/>
      <c r="M170" s="289"/>
      <c r="N170" s="289"/>
      <c r="O170" s="289"/>
      <c r="P170" s="289"/>
      <c r="Q170" s="289"/>
      <c r="R170" s="289"/>
      <c r="S170" s="289"/>
      <c r="T170" s="289"/>
      <c r="U170" s="289"/>
      <c r="V170" s="289"/>
      <c r="X170" s="329"/>
    </row>
    <row r="171" spans="3:24" ht="15.75" customHeight="1">
      <c r="C171" s="328"/>
      <c r="D171" s="289"/>
      <c r="E171" s="289"/>
      <c r="F171" s="289"/>
      <c r="G171" s="289"/>
      <c r="H171" s="289"/>
      <c r="I171" s="611"/>
      <c r="J171" s="289"/>
      <c r="K171" s="289"/>
      <c r="L171" s="289"/>
      <c r="M171" s="289"/>
      <c r="N171" s="289"/>
      <c r="O171" s="289"/>
      <c r="P171" s="289"/>
      <c r="Q171" s="289"/>
      <c r="R171" s="289"/>
      <c r="S171" s="289"/>
      <c r="T171" s="289"/>
      <c r="U171" s="289"/>
      <c r="V171" s="289"/>
      <c r="X171" s="329"/>
    </row>
    <row r="172" spans="3:24" ht="15.75" customHeight="1">
      <c r="C172" s="328"/>
      <c r="D172" s="289"/>
      <c r="E172" s="289"/>
      <c r="F172" s="289"/>
      <c r="G172" s="289"/>
      <c r="H172" s="289"/>
      <c r="I172" s="611"/>
      <c r="J172" s="289"/>
      <c r="K172" s="289"/>
      <c r="L172" s="289"/>
      <c r="M172" s="289"/>
      <c r="N172" s="289"/>
      <c r="O172" s="289"/>
      <c r="P172" s="289"/>
      <c r="Q172" s="289"/>
      <c r="R172" s="289"/>
      <c r="S172" s="289"/>
      <c r="T172" s="289"/>
      <c r="U172" s="289"/>
      <c r="V172" s="289"/>
      <c r="X172" s="329"/>
    </row>
    <row r="173" spans="3:24" ht="15.75" customHeight="1">
      <c r="C173" s="328"/>
      <c r="D173" s="289"/>
      <c r="E173" s="289"/>
      <c r="F173" s="289"/>
      <c r="G173" s="289"/>
      <c r="H173" s="289"/>
      <c r="I173" s="611"/>
      <c r="J173" s="289"/>
      <c r="K173" s="289"/>
      <c r="L173" s="289"/>
      <c r="M173" s="289"/>
      <c r="N173" s="289"/>
      <c r="O173" s="289"/>
      <c r="P173" s="289"/>
      <c r="Q173" s="289"/>
      <c r="R173" s="289"/>
      <c r="S173" s="289"/>
      <c r="T173" s="289"/>
      <c r="U173" s="289"/>
      <c r="V173" s="289"/>
      <c r="X173" s="329"/>
    </row>
    <row r="174" spans="3:24" ht="15.75" customHeight="1">
      <c r="C174" s="328"/>
      <c r="D174" s="289"/>
      <c r="E174" s="289"/>
      <c r="F174" s="289"/>
      <c r="G174" s="289"/>
      <c r="H174" s="289"/>
      <c r="I174" s="611"/>
      <c r="J174" s="289"/>
      <c r="K174" s="289"/>
      <c r="L174" s="289"/>
      <c r="M174" s="289"/>
      <c r="N174" s="289"/>
      <c r="O174" s="289"/>
      <c r="P174" s="289"/>
      <c r="Q174" s="289"/>
      <c r="R174" s="289"/>
      <c r="S174" s="289"/>
      <c r="T174" s="289"/>
      <c r="U174" s="289"/>
      <c r="V174" s="289"/>
      <c r="X174" s="329"/>
    </row>
    <row r="175" spans="3:24" ht="15.75" customHeight="1">
      <c r="C175" s="328"/>
      <c r="D175" s="289"/>
      <c r="E175" s="289"/>
      <c r="F175" s="289"/>
      <c r="G175" s="289"/>
      <c r="H175" s="289"/>
      <c r="I175" s="611"/>
      <c r="J175" s="289"/>
      <c r="K175" s="289"/>
      <c r="L175" s="289"/>
      <c r="M175" s="289"/>
      <c r="N175" s="289"/>
      <c r="O175" s="289"/>
      <c r="P175" s="289"/>
      <c r="Q175" s="289"/>
      <c r="R175" s="289"/>
      <c r="S175" s="289"/>
      <c r="T175" s="289"/>
      <c r="U175" s="289"/>
      <c r="V175" s="289"/>
      <c r="X175" s="329"/>
    </row>
    <row r="176" spans="3:24" ht="15.75" customHeight="1">
      <c r="C176" s="328"/>
      <c r="D176" s="289"/>
      <c r="E176" s="289"/>
      <c r="F176" s="289"/>
      <c r="G176" s="289"/>
      <c r="H176" s="289"/>
      <c r="I176" s="611"/>
      <c r="J176" s="289"/>
      <c r="K176" s="289"/>
      <c r="L176" s="289"/>
      <c r="M176" s="289"/>
      <c r="N176" s="289"/>
      <c r="O176" s="289"/>
      <c r="P176" s="289"/>
      <c r="Q176" s="289"/>
      <c r="R176" s="289"/>
      <c r="S176" s="289"/>
      <c r="T176" s="289"/>
      <c r="U176" s="289"/>
      <c r="V176" s="289"/>
      <c r="X176" s="329"/>
    </row>
    <row r="177" spans="3:24" ht="15.75" customHeight="1">
      <c r="C177" s="328"/>
      <c r="D177" s="289"/>
      <c r="E177" s="289"/>
      <c r="F177" s="289"/>
      <c r="G177" s="289"/>
      <c r="H177" s="289"/>
      <c r="I177" s="611"/>
      <c r="J177" s="289"/>
      <c r="K177" s="289"/>
      <c r="L177" s="289"/>
      <c r="M177" s="289"/>
      <c r="N177" s="289"/>
      <c r="O177" s="289"/>
      <c r="P177" s="289"/>
      <c r="Q177" s="289"/>
      <c r="R177" s="289"/>
      <c r="S177" s="289"/>
      <c r="T177" s="289"/>
      <c r="U177" s="289"/>
      <c r="V177" s="289"/>
      <c r="X177" s="329"/>
    </row>
    <row r="178" spans="3:24" ht="15.75" customHeight="1">
      <c r="C178" s="328"/>
      <c r="D178" s="289"/>
      <c r="E178" s="289"/>
      <c r="F178" s="289"/>
      <c r="G178" s="289"/>
      <c r="H178" s="289"/>
      <c r="I178" s="611"/>
      <c r="J178" s="289"/>
      <c r="K178" s="289"/>
      <c r="L178" s="289"/>
      <c r="M178" s="289"/>
      <c r="N178" s="289"/>
      <c r="O178" s="289"/>
      <c r="P178" s="289"/>
      <c r="Q178" s="289"/>
      <c r="R178" s="289"/>
      <c r="S178" s="289"/>
      <c r="T178" s="289"/>
      <c r="U178" s="289"/>
      <c r="V178" s="289"/>
      <c r="X178" s="329"/>
    </row>
    <row r="179" spans="3:24" ht="15.75" customHeight="1">
      <c r="C179" s="328"/>
      <c r="D179" s="289"/>
      <c r="E179" s="289"/>
      <c r="F179" s="289"/>
      <c r="G179" s="289"/>
      <c r="H179" s="289"/>
      <c r="I179" s="611"/>
      <c r="J179" s="289"/>
      <c r="K179" s="289"/>
      <c r="L179" s="289"/>
      <c r="M179" s="289"/>
      <c r="N179" s="289"/>
      <c r="O179" s="289"/>
      <c r="P179" s="289"/>
      <c r="Q179" s="289"/>
      <c r="R179" s="289"/>
      <c r="S179" s="289"/>
      <c r="T179" s="289"/>
      <c r="U179" s="289"/>
      <c r="V179" s="289"/>
      <c r="X179" s="329"/>
    </row>
    <row r="180" spans="3:24" ht="15.75" customHeight="1">
      <c r="C180" s="328"/>
      <c r="D180" s="289"/>
      <c r="E180" s="289"/>
      <c r="F180" s="289"/>
      <c r="G180" s="289"/>
      <c r="H180" s="289"/>
      <c r="I180" s="611"/>
      <c r="J180" s="289"/>
      <c r="K180" s="289"/>
      <c r="L180" s="289"/>
      <c r="M180" s="289"/>
      <c r="N180" s="289"/>
      <c r="O180" s="289"/>
      <c r="P180" s="289"/>
      <c r="Q180" s="289"/>
      <c r="R180" s="289"/>
      <c r="S180" s="289"/>
      <c r="T180" s="289"/>
      <c r="U180" s="289"/>
      <c r="V180" s="289"/>
      <c r="X180" s="329"/>
    </row>
    <row r="181" spans="3:24" ht="15.75" customHeight="1">
      <c r="C181" s="328"/>
      <c r="D181" s="289"/>
      <c r="E181" s="289"/>
      <c r="F181" s="289"/>
      <c r="G181" s="289"/>
      <c r="H181" s="289"/>
      <c r="I181" s="611"/>
      <c r="J181" s="289"/>
      <c r="K181" s="289"/>
      <c r="L181" s="289"/>
      <c r="M181" s="289"/>
      <c r="N181" s="289"/>
      <c r="O181" s="289"/>
      <c r="P181" s="289"/>
      <c r="Q181" s="289"/>
      <c r="R181" s="289"/>
      <c r="S181" s="289"/>
      <c r="T181" s="289"/>
      <c r="U181" s="289"/>
      <c r="V181" s="289"/>
      <c r="X181" s="329"/>
    </row>
    <row r="182" spans="3:24" ht="15.75" customHeight="1">
      <c r="C182" s="328"/>
      <c r="D182" s="289"/>
      <c r="E182" s="289"/>
      <c r="F182" s="289"/>
      <c r="G182" s="289"/>
      <c r="H182" s="289"/>
      <c r="I182" s="611"/>
      <c r="J182" s="289"/>
      <c r="K182" s="289"/>
      <c r="L182" s="289"/>
      <c r="M182" s="289"/>
      <c r="N182" s="289"/>
      <c r="O182" s="289"/>
      <c r="P182" s="289"/>
      <c r="Q182" s="289"/>
      <c r="R182" s="289"/>
      <c r="S182" s="289"/>
      <c r="T182" s="289"/>
      <c r="U182" s="289"/>
      <c r="V182" s="289"/>
      <c r="X182" s="329"/>
    </row>
    <row r="183" spans="3:24" ht="15.75" customHeight="1">
      <c r="C183" s="328"/>
      <c r="D183" s="289"/>
      <c r="E183" s="289"/>
      <c r="F183" s="289"/>
      <c r="G183" s="289"/>
      <c r="H183" s="289"/>
      <c r="I183" s="611"/>
      <c r="J183" s="289"/>
      <c r="K183" s="289"/>
      <c r="L183" s="289"/>
      <c r="M183" s="289"/>
      <c r="N183" s="289"/>
      <c r="O183" s="289"/>
      <c r="P183" s="289"/>
      <c r="Q183" s="289"/>
      <c r="R183" s="289"/>
      <c r="S183" s="289"/>
      <c r="T183" s="289"/>
      <c r="U183" s="289"/>
      <c r="V183" s="289"/>
      <c r="X183" s="329"/>
    </row>
    <row r="184" spans="3:24" ht="15.75" customHeight="1">
      <c r="C184" s="328"/>
      <c r="D184" s="289"/>
      <c r="E184" s="289"/>
      <c r="F184" s="289"/>
      <c r="G184" s="289"/>
      <c r="H184" s="289"/>
      <c r="I184" s="611"/>
      <c r="J184" s="289"/>
      <c r="K184" s="289"/>
      <c r="L184" s="289"/>
      <c r="M184" s="289"/>
      <c r="N184" s="289"/>
      <c r="O184" s="289"/>
      <c r="P184" s="289"/>
      <c r="Q184" s="289"/>
      <c r="R184" s="289"/>
      <c r="S184" s="289"/>
      <c r="T184" s="289"/>
      <c r="U184" s="289"/>
      <c r="V184" s="289"/>
      <c r="X184" s="329"/>
    </row>
    <row r="185" spans="3:24" ht="15.75" customHeight="1">
      <c r="C185" s="328"/>
      <c r="D185" s="289"/>
      <c r="E185" s="289"/>
      <c r="F185" s="289"/>
      <c r="G185" s="289"/>
      <c r="H185" s="289"/>
      <c r="I185" s="611"/>
      <c r="J185" s="289"/>
      <c r="K185" s="289"/>
      <c r="L185" s="289"/>
      <c r="M185" s="289"/>
      <c r="N185" s="289"/>
      <c r="O185" s="289"/>
      <c r="P185" s="289"/>
      <c r="Q185" s="289"/>
      <c r="R185" s="289"/>
      <c r="S185" s="289"/>
      <c r="T185" s="289"/>
      <c r="U185" s="289"/>
      <c r="V185" s="289"/>
      <c r="X185" s="329"/>
    </row>
    <row r="186" spans="3:24" ht="15.75" customHeight="1">
      <c r="C186" s="328"/>
      <c r="D186" s="289"/>
      <c r="E186" s="289"/>
      <c r="F186" s="289"/>
      <c r="G186" s="289"/>
      <c r="H186" s="289"/>
      <c r="I186" s="611"/>
      <c r="J186" s="289"/>
      <c r="K186" s="289"/>
      <c r="L186" s="289"/>
      <c r="M186" s="289"/>
      <c r="N186" s="289"/>
      <c r="O186" s="289"/>
      <c r="P186" s="289"/>
      <c r="Q186" s="289"/>
      <c r="R186" s="289"/>
      <c r="S186" s="289"/>
      <c r="T186" s="289"/>
      <c r="U186" s="289"/>
      <c r="V186" s="289"/>
      <c r="X186" s="329"/>
    </row>
    <row r="187" spans="3:24" ht="15.75" customHeight="1">
      <c r="C187" s="328"/>
      <c r="D187" s="289"/>
      <c r="E187" s="289"/>
      <c r="F187" s="289"/>
      <c r="G187" s="289"/>
      <c r="H187" s="289"/>
      <c r="I187" s="611"/>
      <c r="J187" s="289"/>
      <c r="K187" s="289"/>
      <c r="L187" s="289"/>
      <c r="M187" s="289"/>
      <c r="N187" s="289"/>
      <c r="O187" s="289"/>
      <c r="P187" s="289"/>
      <c r="Q187" s="289"/>
      <c r="R187" s="289"/>
      <c r="S187" s="289"/>
      <c r="T187" s="289"/>
      <c r="U187" s="289"/>
      <c r="V187" s="289"/>
      <c r="X187" s="329"/>
    </row>
    <row r="188" spans="3:24" ht="15.75" customHeight="1">
      <c r="C188" s="328"/>
      <c r="D188" s="289"/>
      <c r="E188" s="289"/>
      <c r="F188" s="289"/>
      <c r="G188" s="289"/>
      <c r="H188" s="289"/>
      <c r="I188" s="611"/>
      <c r="J188" s="289"/>
      <c r="K188" s="289"/>
      <c r="L188" s="289"/>
      <c r="M188" s="289"/>
      <c r="N188" s="289"/>
      <c r="O188" s="289"/>
      <c r="P188" s="289"/>
      <c r="Q188" s="289"/>
      <c r="R188" s="289"/>
      <c r="S188" s="289"/>
      <c r="T188" s="289"/>
      <c r="U188" s="289"/>
      <c r="V188" s="289"/>
      <c r="X188" s="329"/>
    </row>
    <row r="189" spans="3:24" ht="15.75" customHeight="1">
      <c r="C189" s="328"/>
      <c r="D189" s="289"/>
      <c r="E189" s="289"/>
      <c r="F189" s="289"/>
      <c r="G189" s="289"/>
      <c r="H189" s="289"/>
      <c r="I189" s="611"/>
      <c r="J189" s="289"/>
      <c r="K189" s="289"/>
      <c r="L189" s="289"/>
      <c r="M189" s="289"/>
      <c r="N189" s="289"/>
      <c r="O189" s="289"/>
      <c r="P189" s="289"/>
      <c r="Q189" s="289"/>
      <c r="R189" s="289"/>
      <c r="S189" s="289"/>
      <c r="T189" s="289"/>
      <c r="U189" s="289"/>
      <c r="V189" s="289"/>
      <c r="X189" s="329"/>
    </row>
    <row r="190" spans="3:24" ht="15.75" customHeight="1">
      <c r="C190" s="328"/>
      <c r="D190" s="289"/>
      <c r="E190" s="289"/>
      <c r="F190" s="289"/>
      <c r="G190" s="289"/>
      <c r="H190" s="289"/>
      <c r="I190" s="611"/>
      <c r="J190" s="289"/>
      <c r="K190" s="289"/>
      <c r="L190" s="289"/>
      <c r="M190" s="289"/>
      <c r="N190" s="289"/>
      <c r="O190" s="289"/>
      <c r="P190" s="289"/>
      <c r="Q190" s="289"/>
      <c r="R190" s="289"/>
      <c r="S190" s="289"/>
      <c r="T190" s="289"/>
      <c r="U190" s="289"/>
      <c r="V190" s="289"/>
      <c r="X190" s="329"/>
    </row>
    <row r="191" spans="3:24" ht="15.75" customHeight="1">
      <c r="C191" s="328"/>
      <c r="D191" s="289"/>
      <c r="E191" s="289"/>
      <c r="F191" s="289"/>
      <c r="G191" s="289"/>
      <c r="H191" s="289"/>
      <c r="I191" s="611"/>
      <c r="J191" s="289"/>
      <c r="K191" s="289"/>
      <c r="L191" s="289"/>
      <c r="M191" s="289"/>
      <c r="N191" s="289"/>
      <c r="O191" s="289"/>
      <c r="P191" s="289"/>
      <c r="Q191" s="289"/>
      <c r="R191" s="289"/>
      <c r="S191" s="289"/>
      <c r="T191" s="289"/>
      <c r="U191" s="289"/>
      <c r="V191" s="289"/>
      <c r="X191" s="329"/>
    </row>
    <row r="192" spans="3:24" ht="15.75" customHeight="1">
      <c r="C192" s="328"/>
      <c r="D192" s="289"/>
      <c r="E192" s="289"/>
      <c r="F192" s="289"/>
      <c r="G192" s="289"/>
      <c r="H192" s="289"/>
      <c r="I192" s="611"/>
      <c r="J192" s="289"/>
      <c r="K192" s="289"/>
      <c r="L192" s="289"/>
      <c r="M192" s="289"/>
      <c r="N192" s="289"/>
      <c r="O192" s="289"/>
      <c r="P192" s="289"/>
      <c r="Q192" s="289"/>
      <c r="R192" s="289"/>
      <c r="S192" s="289"/>
      <c r="T192" s="289"/>
      <c r="U192" s="289"/>
      <c r="V192" s="289"/>
      <c r="X192" s="329"/>
    </row>
    <row r="193" spans="3:24" ht="15.75" customHeight="1">
      <c r="C193" s="328"/>
      <c r="D193" s="289"/>
      <c r="E193" s="289"/>
      <c r="F193" s="289"/>
      <c r="G193" s="289"/>
      <c r="H193" s="289"/>
      <c r="I193" s="611"/>
      <c r="J193" s="289"/>
      <c r="K193" s="289"/>
      <c r="L193" s="289"/>
      <c r="M193" s="289"/>
      <c r="N193" s="289"/>
      <c r="O193" s="289"/>
      <c r="P193" s="289"/>
      <c r="Q193" s="289"/>
      <c r="R193" s="289"/>
      <c r="S193" s="289"/>
      <c r="T193" s="289"/>
      <c r="U193" s="289"/>
      <c r="V193" s="289"/>
      <c r="X193" s="329"/>
    </row>
    <row r="194" spans="3:24" ht="15.75" customHeight="1">
      <c r="C194" s="328"/>
      <c r="D194" s="289"/>
      <c r="E194" s="289"/>
      <c r="F194" s="289"/>
      <c r="G194" s="289"/>
      <c r="H194" s="289"/>
      <c r="I194" s="611"/>
      <c r="J194" s="289"/>
      <c r="K194" s="289"/>
      <c r="L194" s="289"/>
      <c r="M194" s="289"/>
      <c r="N194" s="289"/>
      <c r="O194" s="289"/>
      <c r="P194" s="289"/>
      <c r="Q194" s="289"/>
      <c r="R194" s="289"/>
      <c r="S194" s="289"/>
      <c r="T194" s="289"/>
      <c r="U194" s="289"/>
      <c r="V194" s="289"/>
      <c r="X194" s="329"/>
    </row>
    <row r="195" spans="3:24" ht="15.75" customHeight="1">
      <c r="C195" s="328"/>
      <c r="D195" s="289"/>
      <c r="E195" s="289"/>
      <c r="F195" s="289"/>
      <c r="G195" s="289"/>
      <c r="H195" s="289"/>
      <c r="I195" s="611"/>
      <c r="J195" s="289"/>
      <c r="K195" s="289"/>
      <c r="L195" s="289"/>
      <c r="M195" s="289"/>
      <c r="N195" s="289"/>
      <c r="O195" s="289"/>
      <c r="P195" s="289"/>
      <c r="Q195" s="289"/>
      <c r="R195" s="289"/>
      <c r="S195" s="289"/>
      <c r="T195" s="289"/>
      <c r="U195" s="289"/>
      <c r="V195" s="289"/>
      <c r="X195" s="329"/>
    </row>
    <row r="196" spans="3:24" ht="15.75" customHeight="1">
      <c r="C196" s="328"/>
      <c r="D196" s="289"/>
      <c r="E196" s="289"/>
      <c r="F196" s="289"/>
      <c r="G196" s="289"/>
      <c r="H196" s="289"/>
      <c r="I196" s="611"/>
      <c r="J196" s="289"/>
      <c r="K196" s="289"/>
      <c r="L196" s="289"/>
      <c r="M196" s="289"/>
      <c r="N196" s="289"/>
      <c r="O196" s="289"/>
      <c r="P196" s="289"/>
      <c r="Q196" s="289"/>
      <c r="R196" s="289"/>
      <c r="S196" s="289"/>
      <c r="T196" s="289"/>
      <c r="U196" s="289"/>
      <c r="V196" s="289"/>
      <c r="X196" s="329"/>
    </row>
    <row r="197" spans="3:24" ht="15.75" customHeight="1">
      <c r="C197" s="328"/>
      <c r="D197" s="289"/>
      <c r="E197" s="289"/>
      <c r="F197" s="289"/>
      <c r="G197" s="289"/>
      <c r="H197" s="289"/>
      <c r="I197" s="611"/>
      <c r="J197" s="289"/>
      <c r="K197" s="289"/>
      <c r="L197" s="289"/>
      <c r="M197" s="289"/>
      <c r="N197" s="289"/>
      <c r="O197" s="289"/>
      <c r="P197" s="289"/>
      <c r="Q197" s="289"/>
      <c r="R197" s="289"/>
      <c r="S197" s="289"/>
      <c r="T197" s="289"/>
      <c r="U197" s="289"/>
      <c r="V197" s="289"/>
      <c r="X197" s="329"/>
    </row>
    <row r="198" spans="3:24" ht="15.75" customHeight="1">
      <c r="C198" s="328"/>
      <c r="D198" s="289"/>
      <c r="E198" s="289"/>
      <c r="F198" s="289"/>
      <c r="G198" s="289"/>
      <c r="H198" s="289"/>
      <c r="I198" s="611"/>
      <c r="J198" s="289"/>
      <c r="K198" s="289"/>
      <c r="L198" s="289"/>
      <c r="M198" s="289"/>
      <c r="N198" s="289"/>
      <c r="O198" s="289"/>
      <c r="P198" s="289"/>
      <c r="Q198" s="289"/>
      <c r="R198" s="289"/>
      <c r="S198" s="289"/>
      <c r="T198" s="289"/>
      <c r="U198" s="289"/>
      <c r="V198" s="289"/>
      <c r="X198" s="329"/>
    </row>
    <row r="199" spans="3:24" ht="15.75" customHeight="1">
      <c r="C199" s="328"/>
      <c r="D199" s="289"/>
      <c r="E199" s="289"/>
      <c r="F199" s="289"/>
      <c r="G199" s="289"/>
      <c r="H199" s="289"/>
      <c r="I199" s="611"/>
      <c r="J199" s="289"/>
      <c r="K199" s="289"/>
      <c r="L199" s="289"/>
      <c r="M199" s="289"/>
      <c r="N199" s="289"/>
      <c r="O199" s="289"/>
      <c r="P199" s="289"/>
      <c r="Q199" s="289"/>
      <c r="R199" s="289"/>
      <c r="S199" s="289"/>
      <c r="T199" s="289"/>
      <c r="U199" s="289"/>
      <c r="V199" s="289"/>
      <c r="X199" s="329"/>
    </row>
    <row r="200" spans="3:24" ht="15.75" customHeight="1">
      <c r="C200" s="328"/>
      <c r="D200" s="289"/>
      <c r="E200" s="289"/>
      <c r="F200" s="289"/>
      <c r="G200" s="289"/>
      <c r="H200" s="289"/>
      <c r="I200" s="611"/>
      <c r="J200" s="289"/>
      <c r="K200" s="289"/>
      <c r="L200" s="289"/>
      <c r="M200" s="289"/>
      <c r="N200" s="289"/>
      <c r="O200" s="289"/>
      <c r="P200" s="289"/>
      <c r="Q200" s="289"/>
      <c r="R200" s="289"/>
      <c r="S200" s="289"/>
      <c r="T200" s="289"/>
      <c r="U200" s="289"/>
      <c r="V200" s="289"/>
      <c r="X200" s="329"/>
    </row>
    <row r="201" spans="3:24" ht="15.75" customHeight="1">
      <c r="C201" s="328"/>
      <c r="D201" s="289"/>
      <c r="E201" s="289"/>
      <c r="F201" s="289"/>
      <c r="G201" s="289"/>
      <c r="H201" s="289"/>
      <c r="I201" s="611"/>
      <c r="J201" s="289"/>
      <c r="K201" s="289"/>
      <c r="L201" s="289"/>
      <c r="M201" s="289"/>
      <c r="N201" s="289"/>
      <c r="O201" s="289"/>
      <c r="P201" s="289"/>
      <c r="Q201" s="289"/>
      <c r="R201" s="289"/>
      <c r="S201" s="289"/>
      <c r="T201" s="289"/>
      <c r="U201" s="289"/>
      <c r="V201" s="289"/>
      <c r="X201" s="329"/>
    </row>
    <row r="202" spans="3:24" ht="15.75" customHeight="1">
      <c r="C202" s="328"/>
      <c r="D202" s="289"/>
      <c r="E202" s="289"/>
      <c r="F202" s="289"/>
      <c r="G202" s="289"/>
      <c r="H202" s="289"/>
      <c r="I202" s="611"/>
      <c r="J202" s="289"/>
      <c r="K202" s="289"/>
      <c r="L202" s="289"/>
      <c r="M202" s="289"/>
      <c r="N202" s="289"/>
      <c r="O202" s="289"/>
      <c r="P202" s="289"/>
      <c r="Q202" s="289"/>
      <c r="R202" s="289"/>
      <c r="S202" s="289"/>
      <c r="T202" s="289"/>
      <c r="U202" s="289"/>
      <c r="V202" s="289"/>
      <c r="X202" s="329"/>
    </row>
    <row r="203" spans="3:24" ht="15.75" customHeight="1">
      <c r="C203" s="328"/>
      <c r="D203" s="289"/>
      <c r="E203" s="289"/>
      <c r="F203" s="289"/>
      <c r="G203" s="289"/>
      <c r="H203" s="289"/>
      <c r="I203" s="611"/>
      <c r="J203" s="289"/>
      <c r="K203" s="289"/>
      <c r="L203" s="289"/>
      <c r="M203" s="289"/>
      <c r="N203" s="289"/>
      <c r="O203" s="289"/>
      <c r="P203" s="289"/>
      <c r="Q203" s="289"/>
      <c r="R203" s="289"/>
      <c r="S203" s="289"/>
      <c r="T203" s="289"/>
      <c r="U203" s="289"/>
      <c r="V203" s="289"/>
      <c r="X203" s="329"/>
    </row>
    <row r="204" spans="3:24" ht="15.75" customHeight="1">
      <c r="C204" s="328"/>
      <c r="D204" s="289"/>
      <c r="E204" s="289"/>
      <c r="F204" s="289"/>
      <c r="G204" s="289"/>
      <c r="H204" s="289"/>
      <c r="I204" s="611"/>
      <c r="J204" s="289"/>
      <c r="K204" s="289"/>
      <c r="L204" s="289"/>
      <c r="M204" s="289"/>
      <c r="N204" s="289"/>
      <c r="O204" s="289"/>
      <c r="P204" s="289"/>
      <c r="Q204" s="289"/>
      <c r="R204" s="289"/>
      <c r="S204" s="289"/>
      <c r="T204" s="289"/>
      <c r="U204" s="289"/>
      <c r="V204" s="289"/>
      <c r="X204" s="329"/>
    </row>
    <row r="205" spans="3:24" ht="15.75" customHeight="1">
      <c r="C205" s="328"/>
      <c r="D205" s="289"/>
      <c r="E205" s="289"/>
      <c r="F205" s="289"/>
      <c r="G205" s="289"/>
      <c r="H205" s="289"/>
      <c r="I205" s="611"/>
      <c r="J205" s="289"/>
      <c r="K205" s="289"/>
      <c r="L205" s="289"/>
      <c r="M205" s="289"/>
      <c r="N205" s="289"/>
      <c r="O205" s="289"/>
      <c r="P205" s="289"/>
      <c r="Q205" s="289"/>
      <c r="R205" s="289"/>
      <c r="S205" s="289"/>
      <c r="T205" s="289"/>
      <c r="U205" s="289"/>
      <c r="V205" s="289"/>
      <c r="X205" s="329"/>
    </row>
    <row r="206" spans="3:24" ht="15.75" customHeight="1">
      <c r="C206" s="328"/>
      <c r="D206" s="289"/>
      <c r="E206" s="289"/>
      <c r="F206" s="289"/>
      <c r="G206" s="289"/>
      <c r="H206" s="289"/>
      <c r="I206" s="611"/>
      <c r="J206" s="289"/>
      <c r="K206" s="289"/>
      <c r="L206" s="289"/>
      <c r="M206" s="289"/>
      <c r="N206" s="289"/>
      <c r="O206" s="289"/>
      <c r="P206" s="289"/>
      <c r="Q206" s="289"/>
      <c r="R206" s="289"/>
      <c r="S206" s="289"/>
      <c r="T206" s="289"/>
      <c r="U206" s="289"/>
      <c r="V206" s="289"/>
      <c r="X206" s="329"/>
    </row>
    <row r="207" spans="3:24" ht="15.75" customHeight="1">
      <c r="C207" s="328"/>
      <c r="D207" s="289"/>
      <c r="E207" s="289"/>
      <c r="F207" s="289"/>
      <c r="G207" s="289"/>
      <c r="H207" s="289"/>
      <c r="I207" s="611"/>
      <c r="J207" s="289"/>
      <c r="K207" s="289"/>
      <c r="L207" s="289"/>
      <c r="M207" s="289"/>
      <c r="N207" s="289"/>
      <c r="O207" s="289"/>
      <c r="P207" s="289"/>
      <c r="Q207" s="289"/>
      <c r="R207" s="289"/>
      <c r="S207" s="289"/>
      <c r="T207" s="289"/>
      <c r="U207" s="289"/>
      <c r="V207" s="289"/>
      <c r="X207" s="329"/>
    </row>
    <row r="208" spans="3:24" ht="15.75" customHeight="1">
      <c r="C208" s="328"/>
      <c r="D208" s="289"/>
      <c r="E208" s="289"/>
      <c r="F208" s="289"/>
      <c r="G208" s="289"/>
      <c r="H208" s="289"/>
      <c r="I208" s="611"/>
      <c r="J208" s="289"/>
      <c r="K208" s="289"/>
      <c r="L208" s="289"/>
      <c r="M208" s="289"/>
      <c r="N208" s="289"/>
      <c r="O208" s="289"/>
      <c r="P208" s="289"/>
      <c r="Q208" s="289"/>
      <c r="R208" s="289"/>
      <c r="S208" s="289"/>
      <c r="T208" s="289"/>
      <c r="U208" s="289"/>
      <c r="V208" s="289"/>
      <c r="X208" s="329"/>
    </row>
    <row r="209" spans="3:24" ht="15.75" customHeight="1">
      <c r="C209" s="328"/>
      <c r="D209" s="289"/>
      <c r="E209" s="289"/>
      <c r="F209" s="289"/>
      <c r="G209" s="289"/>
      <c r="H209" s="289"/>
      <c r="I209" s="611"/>
      <c r="J209" s="289"/>
      <c r="K209" s="289"/>
      <c r="L209" s="289"/>
      <c r="M209" s="289"/>
      <c r="N209" s="289"/>
      <c r="O209" s="289"/>
      <c r="P209" s="289"/>
      <c r="Q209" s="289"/>
      <c r="R209" s="289"/>
      <c r="S209" s="289"/>
      <c r="T209" s="289"/>
      <c r="U209" s="289"/>
      <c r="V209" s="289"/>
      <c r="X209" s="329"/>
    </row>
    <row r="210" spans="3:24" ht="15.75" customHeight="1">
      <c r="C210" s="328"/>
      <c r="D210" s="289"/>
      <c r="E210" s="289"/>
      <c r="F210" s="289"/>
      <c r="G210" s="289"/>
      <c r="H210" s="289"/>
      <c r="I210" s="611"/>
      <c r="J210" s="289"/>
      <c r="K210" s="289"/>
      <c r="L210" s="289"/>
      <c r="M210" s="289"/>
      <c r="N210" s="289"/>
      <c r="O210" s="289"/>
      <c r="P210" s="289"/>
      <c r="Q210" s="289"/>
      <c r="R210" s="289"/>
      <c r="S210" s="289"/>
      <c r="T210" s="289"/>
      <c r="U210" s="289"/>
      <c r="V210" s="289"/>
      <c r="X210" s="329"/>
    </row>
    <row r="211" spans="3:24" ht="15.75" customHeight="1">
      <c r="C211" s="328"/>
      <c r="D211" s="289"/>
      <c r="E211" s="289"/>
      <c r="F211" s="289"/>
      <c r="G211" s="289"/>
      <c r="H211" s="289"/>
      <c r="I211" s="611"/>
      <c r="J211" s="289"/>
      <c r="K211" s="289"/>
      <c r="L211" s="289"/>
      <c r="M211" s="289"/>
      <c r="N211" s="289"/>
      <c r="O211" s="289"/>
      <c r="P211" s="289"/>
      <c r="Q211" s="289"/>
      <c r="R211" s="289"/>
      <c r="S211" s="289"/>
      <c r="T211" s="289"/>
      <c r="U211" s="289"/>
      <c r="V211" s="289"/>
      <c r="X211" s="329"/>
    </row>
    <row r="212" spans="3:24" ht="15.75" customHeight="1">
      <c r="C212" s="328"/>
      <c r="D212" s="289"/>
      <c r="E212" s="289"/>
      <c r="F212" s="289"/>
      <c r="G212" s="289"/>
      <c r="H212" s="289"/>
      <c r="I212" s="611"/>
      <c r="J212" s="289"/>
      <c r="K212" s="289"/>
      <c r="L212" s="289"/>
      <c r="M212" s="289"/>
      <c r="N212" s="289"/>
      <c r="O212" s="289"/>
      <c r="P212" s="289"/>
      <c r="Q212" s="289"/>
      <c r="R212" s="289"/>
      <c r="S212" s="289"/>
      <c r="T212" s="289"/>
      <c r="U212" s="289"/>
      <c r="V212" s="289"/>
      <c r="X212" s="329"/>
    </row>
    <row r="213" spans="3:24" ht="15.75" customHeight="1">
      <c r="C213" s="328"/>
      <c r="D213" s="289"/>
      <c r="E213" s="289"/>
      <c r="F213" s="289"/>
      <c r="G213" s="289"/>
      <c r="H213" s="289"/>
      <c r="I213" s="611"/>
      <c r="J213" s="289"/>
      <c r="K213" s="289"/>
      <c r="L213" s="289"/>
      <c r="M213" s="289"/>
      <c r="N213" s="289"/>
      <c r="O213" s="289"/>
      <c r="P213" s="289"/>
      <c r="Q213" s="289"/>
      <c r="R213" s="289"/>
      <c r="S213" s="289"/>
      <c r="T213" s="289"/>
      <c r="U213" s="289"/>
      <c r="V213" s="289"/>
      <c r="X213" s="329"/>
    </row>
    <row r="214" spans="3:24" ht="15.75" customHeight="1">
      <c r="C214" s="328"/>
      <c r="D214" s="289"/>
      <c r="E214" s="289"/>
      <c r="F214" s="289"/>
      <c r="G214" s="289"/>
      <c r="H214" s="289"/>
      <c r="I214" s="611"/>
      <c r="J214" s="289"/>
      <c r="K214" s="289"/>
      <c r="L214" s="289"/>
      <c r="M214" s="289"/>
      <c r="N214" s="289"/>
      <c r="O214" s="289"/>
      <c r="P214" s="289"/>
      <c r="Q214" s="289"/>
      <c r="R214" s="289"/>
      <c r="S214" s="289"/>
      <c r="T214" s="289"/>
      <c r="U214" s="289"/>
      <c r="V214" s="289"/>
      <c r="X214" s="329"/>
    </row>
    <row r="215" spans="3:24" ht="15.75" customHeight="1">
      <c r="C215" s="328"/>
      <c r="D215" s="289"/>
      <c r="E215" s="289"/>
      <c r="F215" s="289"/>
      <c r="G215" s="289"/>
      <c r="H215" s="289"/>
      <c r="I215" s="611"/>
      <c r="J215" s="289"/>
      <c r="K215" s="289"/>
      <c r="L215" s="289"/>
      <c r="M215" s="289"/>
      <c r="N215" s="289"/>
      <c r="O215" s="289"/>
      <c r="P215" s="289"/>
      <c r="Q215" s="289"/>
      <c r="R215" s="289"/>
      <c r="S215" s="289"/>
      <c r="T215" s="289"/>
      <c r="U215" s="289"/>
      <c r="V215" s="289"/>
      <c r="X215" s="329"/>
    </row>
    <row r="216" spans="3:24" ht="15.75" customHeight="1">
      <c r="C216" s="328"/>
      <c r="D216" s="289"/>
      <c r="E216" s="289"/>
      <c r="F216" s="289"/>
      <c r="G216" s="289"/>
      <c r="H216" s="289"/>
      <c r="I216" s="611"/>
      <c r="J216" s="289"/>
      <c r="K216" s="289"/>
      <c r="L216" s="289"/>
      <c r="M216" s="289"/>
      <c r="N216" s="289"/>
      <c r="O216" s="289"/>
      <c r="P216" s="289"/>
      <c r="Q216" s="289"/>
      <c r="R216" s="289"/>
      <c r="S216" s="289"/>
      <c r="T216" s="289"/>
      <c r="U216" s="289"/>
      <c r="V216" s="289"/>
      <c r="X216" s="329"/>
    </row>
    <row r="217" spans="3:24" ht="15.75" customHeight="1">
      <c r="C217" s="328"/>
      <c r="D217" s="289"/>
      <c r="E217" s="289"/>
      <c r="F217" s="289"/>
      <c r="G217" s="289"/>
      <c r="H217" s="289"/>
      <c r="I217" s="611"/>
      <c r="J217" s="289"/>
      <c r="K217" s="289"/>
      <c r="L217" s="289"/>
      <c r="M217" s="289"/>
      <c r="N217" s="289"/>
      <c r="O217" s="289"/>
      <c r="P217" s="289"/>
      <c r="Q217" s="289"/>
      <c r="R217" s="289"/>
      <c r="S217" s="289"/>
      <c r="T217" s="289"/>
      <c r="U217" s="289"/>
      <c r="V217" s="289"/>
      <c r="X217" s="329"/>
    </row>
    <row r="218" spans="3:24" ht="15.75" customHeight="1">
      <c r="C218" s="328"/>
      <c r="D218" s="289"/>
      <c r="E218" s="289"/>
      <c r="F218" s="289"/>
      <c r="G218" s="289"/>
      <c r="H218" s="289"/>
      <c r="I218" s="611"/>
      <c r="J218" s="289"/>
      <c r="K218" s="289"/>
      <c r="L218" s="289"/>
      <c r="M218" s="289"/>
      <c r="N218" s="289"/>
      <c r="O218" s="289"/>
      <c r="P218" s="289"/>
      <c r="Q218" s="289"/>
      <c r="R218" s="289"/>
      <c r="S218" s="289"/>
      <c r="T218" s="289"/>
      <c r="U218" s="289"/>
      <c r="V218" s="289"/>
      <c r="X218" s="329"/>
    </row>
    <row r="219" spans="3:24" ht="15.75" customHeight="1">
      <c r="C219" s="328"/>
      <c r="D219" s="289"/>
      <c r="E219" s="289"/>
      <c r="F219" s="289"/>
      <c r="G219" s="289"/>
      <c r="H219" s="289"/>
      <c r="I219" s="611"/>
      <c r="J219" s="289"/>
      <c r="K219" s="289"/>
      <c r="L219" s="289"/>
      <c r="M219" s="289"/>
      <c r="N219" s="289"/>
      <c r="O219" s="289"/>
      <c r="P219" s="289"/>
      <c r="Q219" s="289"/>
      <c r="R219" s="289"/>
      <c r="S219" s="289"/>
      <c r="T219" s="289"/>
      <c r="U219" s="289"/>
      <c r="V219" s="289"/>
      <c r="X219" s="329"/>
    </row>
    <row r="220" spans="3:24" ht="15.75" customHeight="1">
      <c r="C220" s="328"/>
      <c r="D220" s="289"/>
      <c r="E220" s="289"/>
      <c r="F220" s="289"/>
      <c r="G220" s="289"/>
      <c r="H220" s="289"/>
      <c r="I220" s="611"/>
      <c r="J220" s="289"/>
      <c r="K220" s="289"/>
      <c r="L220" s="289"/>
      <c r="M220" s="289"/>
      <c r="N220" s="289"/>
      <c r="O220" s="289"/>
      <c r="P220" s="289"/>
      <c r="Q220" s="289"/>
      <c r="R220" s="289"/>
      <c r="S220" s="289"/>
      <c r="T220" s="289"/>
      <c r="U220" s="289"/>
      <c r="V220" s="289"/>
      <c r="X220" s="329"/>
    </row>
    <row r="221" spans="3:24" ht="15.75" customHeight="1">
      <c r="C221" s="328"/>
      <c r="D221" s="289"/>
      <c r="E221" s="289"/>
      <c r="F221" s="289"/>
      <c r="G221" s="289"/>
      <c r="H221" s="289"/>
      <c r="I221" s="611"/>
      <c r="J221" s="289"/>
      <c r="K221" s="289"/>
      <c r="L221" s="289"/>
      <c r="M221" s="289"/>
      <c r="N221" s="289"/>
      <c r="O221" s="289"/>
      <c r="P221" s="289"/>
      <c r="Q221" s="289"/>
      <c r="R221" s="289"/>
      <c r="S221" s="289"/>
      <c r="T221" s="289"/>
      <c r="U221" s="289"/>
      <c r="V221" s="289"/>
      <c r="X221" s="329"/>
    </row>
    <row r="222" spans="3:24" ht="15.75" customHeight="1">
      <c r="C222" s="328"/>
      <c r="D222" s="289"/>
      <c r="E222" s="289"/>
      <c r="F222" s="289"/>
      <c r="G222" s="289"/>
      <c r="H222" s="289"/>
      <c r="I222" s="611"/>
      <c r="J222" s="289"/>
      <c r="K222" s="289"/>
      <c r="L222" s="289"/>
      <c r="M222" s="289"/>
      <c r="N222" s="289"/>
      <c r="O222" s="289"/>
      <c r="P222" s="289"/>
      <c r="Q222" s="289"/>
      <c r="R222" s="289"/>
      <c r="S222" s="289"/>
      <c r="T222" s="289"/>
      <c r="U222" s="289"/>
      <c r="V222" s="289"/>
      <c r="X222" s="329"/>
    </row>
    <row r="223" spans="3:24" ht="15.75" customHeight="1">
      <c r="C223" s="328"/>
      <c r="D223" s="289"/>
      <c r="E223" s="289"/>
      <c r="F223" s="289"/>
      <c r="G223" s="289"/>
      <c r="H223" s="289"/>
      <c r="I223" s="611"/>
      <c r="J223" s="289"/>
      <c r="K223" s="289"/>
      <c r="L223" s="289"/>
      <c r="M223" s="289"/>
      <c r="N223" s="289"/>
      <c r="O223" s="289"/>
      <c r="P223" s="289"/>
      <c r="Q223" s="289"/>
      <c r="R223" s="289"/>
      <c r="S223" s="289"/>
      <c r="T223" s="289"/>
      <c r="U223" s="289"/>
      <c r="V223" s="289"/>
      <c r="X223" s="329"/>
    </row>
    <row r="224" spans="3:24" ht="15.75" customHeight="1">
      <c r="C224" s="328"/>
      <c r="D224" s="289"/>
      <c r="E224" s="289"/>
      <c r="F224" s="289"/>
      <c r="G224" s="289"/>
      <c r="H224" s="289"/>
      <c r="I224" s="611"/>
      <c r="J224" s="289"/>
      <c r="K224" s="289"/>
      <c r="L224" s="289"/>
      <c r="M224" s="289"/>
      <c r="N224" s="289"/>
      <c r="O224" s="289"/>
      <c r="P224" s="289"/>
      <c r="Q224" s="289"/>
      <c r="R224" s="289"/>
      <c r="S224" s="289"/>
      <c r="T224" s="289"/>
      <c r="U224" s="289"/>
      <c r="V224" s="289"/>
      <c r="X224" s="329"/>
    </row>
    <row r="225" spans="3:24" ht="15.75" customHeight="1">
      <c r="C225" s="328"/>
      <c r="D225" s="289"/>
      <c r="E225" s="289"/>
      <c r="F225" s="289"/>
      <c r="G225" s="289"/>
      <c r="H225" s="289"/>
      <c r="I225" s="611"/>
      <c r="J225" s="289"/>
      <c r="K225" s="289"/>
      <c r="L225" s="289"/>
      <c r="M225" s="289"/>
      <c r="N225" s="289"/>
      <c r="O225" s="289"/>
      <c r="P225" s="289"/>
      <c r="Q225" s="289"/>
      <c r="R225" s="289"/>
      <c r="S225" s="289"/>
      <c r="T225" s="289"/>
      <c r="U225" s="289"/>
      <c r="V225" s="289"/>
      <c r="X225" s="329"/>
    </row>
    <row r="226" spans="3:24" ht="15.75" customHeight="1">
      <c r="C226" s="328"/>
      <c r="D226" s="289"/>
      <c r="E226" s="289"/>
      <c r="F226" s="289"/>
      <c r="G226" s="289"/>
      <c r="H226" s="289"/>
      <c r="I226" s="611"/>
      <c r="J226" s="289"/>
      <c r="K226" s="289"/>
      <c r="L226" s="289"/>
      <c r="M226" s="289"/>
      <c r="N226" s="289"/>
      <c r="O226" s="289"/>
      <c r="P226" s="289"/>
      <c r="Q226" s="289"/>
      <c r="R226" s="289"/>
      <c r="S226" s="289"/>
      <c r="T226" s="289"/>
      <c r="U226" s="289"/>
      <c r="V226" s="289"/>
      <c r="X226" s="329"/>
    </row>
    <row r="227" spans="3:24" ht="15.75" customHeight="1">
      <c r="C227" s="328"/>
      <c r="D227" s="289"/>
      <c r="E227" s="289"/>
      <c r="F227" s="289"/>
      <c r="G227" s="289"/>
      <c r="H227" s="289"/>
      <c r="I227" s="611"/>
      <c r="J227" s="289"/>
      <c r="K227" s="289"/>
      <c r="L227" s="289"/>
      <c r="M227" s="289"/>
      <c r="N227" s="289"/>
      <c r="O227" s="289"/>
      <c r="P227" s="289"/>
      <c r="Q227" s="289"/>
      <c r="R227" s="289"/>
      <c r="S227" s="289"/>
      <c r="T227" s="289"/>
      <c r="U227" s="289"/>
      <c r="V227" s="289"/>
      <c r="X227" s="329"/>
    </row>
    <row r="228" spans="3:24" ht="15.75" customHeight="1">
      <c r="C228" s="328"/>
      <c r="D228" s="289"/>
      <c r="E228" s="289"/>
      <c r="F228" s="289"/>
      <c r="G228" s="289"/>
      <c r="H228" s="289"/>
      <c r="I228" s="611"/>
      <c r="J228" s="289"/>
      <c r="K228" s="289"/>
      <c r="L228" s="289"/>
      <c r="M228" s="289"/>
      <c r="N228" s="289"/>
      <c r="O228" s="289"/>
      <c r="P228" s="289"/>
      <c r="Q228" s="289"/>
      <c r="R228" s="289"/>
      <c r="S228" s="289"/>
      <c r="T228" s="289"/>
      <c r="U228" s="289"/>
      <c r="V228" s="289"/>
      <c r="X228" s="329"/>
    </row>
    <row r="229" spans="3:24" ht="15.75" customHeight="1">
      <c r="C229" s="328"/>
      <c r="D229" s="289"/>
      <c r="E229" s="289"/>
      <c r="F229" s="289"/>
      <c r="G229" s="289"/>
      <c r="H229" s="289"/>
      <c r="I229" s="611"/>
      <c r="J229" s="289"/>
      <c r="K229" s="289"/>
      <c r="L229" s="289"/>
      <c r="M229" s="289"/>
      <c r="N229" s="289"/>
      <c r="O229" s="289"/>
      <c r="P229" s="289"/>
      <c r="Q229" s="289"/>
      <c r="R229" s="289"/>
      <c r="S229" s="289"/>
      <c r="T229" s="289"/>
      <c r="U229" s="289"/>
      <c r="V229" s="289"/>
      <c r="X229" s="329"/>
    </row>
    <row r="230" spans="3:24" ht="15.75" customHeight="1">
      <c r="C230" s="328"/>
      <c r="D230" s="289"/>
      <c r="E230" s="289"/>
      <c r="F230" s="289"/>
      <c r="G230" s="289"/>
      <c r="H230" s="289"/>
      <c r="I230" s="611"/>
      <c r="J230" s="289"/>
      <c r="K230" s="289"/>
      <c r="L230" s="289"/>
      <c r="M230" s="289"/>
      <c r="N230" s="289"/>
      <c r="O230" s="289"/>
      <c r="P230" s="289"/>
      <c r="Q230" s="289"/>
      <c r="R230" s="289"/>
      <c r="S230" s="289"/>
      <c r="T230" s="289"/>
      <c r="U230" s="289"/>
      <c r="V230" s="289"/>
      <c r="X230" s="329"/>
    </row>
    <row r="231" spans="3:24" ht="15.75" customHeight="1">
      <c r="C231" s="328"/>
      <c r="D231" s="289"/>
      <c r="E231" s="289"/>
      <c r="F231" s="289"/>
      <c r="G231" s="289"/>
      <c r="H231" s="289"/>
      <c r="I231" s="611"/>
      <c r="J231" s="289"/>
      <c r="K231" s="289"/>
      <c r="L231" s="289"/>
      <c r="M231" s="289"/>
      <c r="N231" s="289"/>
      <c r="O231" s="289"/>
      <c r="P231" s="289"/>
      <c r="Q231" s="289"/>
      <c r="R231" s="289"/>
      <c r="S231" s="289"/>
      <c r="T231" s="289"/>
      <c r="U231" s="289"/>
      <c r="V231" s="289"/>
      <c r="X231" s="329"/>
    </row>
    <row r="232" spans="3:24" ht="15.75" customHeight="1">
      <c r="C232" s="328"/>
      <c r="D232" s="289"/>
      <c r="E232" s="289"/>
      <c r="F232" s="289"/>
      <c r="G232" s="289"/>
      <c r="H232" s="289"/>
      <c r="I232" s="611"/>
      <c r="J232" s="289"/>
      <c r="K232" s="289"/>
      <c r="L232" s="289"/>
      <c r="M232" s="289"/>
      <c r="N232" s="289"/>
      <c r="O232" s="289"/>
      <c r="P232" s="289"/>
      <c r="Q232" s="289"/>
      <c r="R232" s="289"/>
      <c r="S232" s="289"/>
      <c r="T232" s="289"/>
      <c r="U232" s="289"/>
      <c r="V232" s="289"/>
      <c r="X232" s="329"/>
    </row>
    <row r="233" spans="3:24" ht="15.75" customHeight="1">
      <c r="C233" s="328"/>
      <c r="D233" s="289"/>
      <c r="E233" s="289"/>
      <c r="F233" s="289"/>
      <c r="G233" s="289"/>
      <c r="H233" s="289"/>
      <c r="I233" s="611"/>
      <c r="J233" s="289"/>
      <c r="K233" s="289"/>
      <c r="L233" s="289"/>
      <c r="M233" s="289"/>
      <c r="N233" s="289"/>
      <c r="O233" s="289"/>
      <c r="P233" s="289"/>
      <c r="Q233" s="289"/>
      <c r="R233" s="289"/>
      <c r="S233" s="289"/>
      <c r="T233" s="289"/>
      <c r="U233" s="289"/>
      <c r="V233" s="289"/>
      <c r="X233" s="329"/>
    </row>
    <row r="234" spans="3:24" ht="15.75" customHeight="1">
      <c r="C234" s="328"/>
      <c r="D234" s="289"/>
      <c r="E234" s="289"/>
      <c r="F234" s="289"/>
      <c r="G234" s="289"/>
      <c r="H234" s="289"/>
      <c r="I234" s="611"/>
      <c r="J234" s="289"/>
      <c r="K234" s="289"/>
      <c r="L234" s="289"/>
      <c r="M234" s="289"/>
      <c r="N234" s="289"/>
      <c r="O234" s="289"/>
      <c r="P234" s="289"/>
      <c r="Q234" s="289"/>
      <c r="R234" s="289"/>
      <c r="S234" s="289"/>
      <c r="T234" s="289"/>
      <c r="U234" s="289"/>
      <c r="V234" s="289"/>
      <c r="X234" s="329"/>
    </row>
    <row r="235" spans="3:24" ht="15.75" customHeight="1">
      <c r="C235" s="328"/>
      <c r="D235" s="289"/>
      <c r="E235" s="289"/>
      <c r="F235" s="289"/>
      <c r="G235" s="289"/>
      <c r="H235" s="289"/>
      <c r="I235" s="611"/>
      <c r="J235" s="289"/>
      <c r="K235" s="289"/>
      <c r="L235" s="289"/>
      <c r="M235" s="289"/>
      <c r="N235" s="289"/>
      <c r="O235" s="289"/>
      <c r="P235" s="289"/>
      <c r="Q235" s="289"/>
      <c r="R235" s="289"/>
      <c r="S235" s="289"/>
      <c r="T235" s="289"/>
      <c r="U235" s="289"/>
      <c r="V235" s="289"/>
      <c r="X235" s="329"/>
    </row>
    <row r="236" spans="3:24" ht="15.75" customHeight="1">
      <c r="C236" s="328"/>
      <c r="D236" s="289"/>
      <c r="E236" s="289"/>
      <c r="F236" s="289"/>
      <c r="G236" s="289"/>
      <c r="H236" s="289"/>
      <c r="I236" s="611"/>
      <c r="J236" s="289"/>
      <c r="K236" s="289"/>
      <c r="L236" s="289"/>
      <c r="M236" s="289"/>
      <c r="N236" s="289"/>
      <c r="O236" s="289"/>
      <c r="P236" s="289"/>
      <c r="Q236" s="289"/>
      <c r="R236" s="289"/>
      <c r="S236" s="289"/>
      <c r="T236" s="289"/>
      <c r="U236" s="289"/>
      <c r="V236" s="289"/>
      <c r="X236" s="329"/>
    </row>
    <row r="237" spans="3:24" ht="15.75" customHeight="1">
      <c r="C237" s="328"/>
      <c r="D237" s="289"/>
      <c r="E237" s="289"/>
      <c r="F237" s="289"/>
      <c r="G237" s="289"/>
      <c r="H237" s="289"/>
      <c r="I237" s="611"/>
      <c r="J237" s="289"/>
      <c r="K237" s="289"/>
      <c r="L237" s="289"/>
      <c r="M237" s="289"/>
      <c r="N237" s="289"/>
      <c r="O237" s="289"/>
      <c r="P237" s="289"/>
      <c r="Q237" s="289"/>
      <c r="R237" s="289"/>
      <c r="S237" s="289"/>
      <c r="T237" s="289"/>
      <c r="U237" s="289"/>
      <c r="V237" s="289"/>
      <c r="X237" s="329"/>
    </row>
    <row r="238" spans="3:24" ht="15.75" customHeight="1">
      <c r="C238" s="328"/>
      <c r="D238" s="289"/>
      <c r="E238" s="289"/>
      <c r="F238" s="289"/>
      <c r="G238" s="289"/>
      <c r="H238" s="289"/>
      <c r="I238" s="611"/>
      <c r="J238" s="289"/>
      <c r="K238" s="289"/>
      <c r="L238" s="289"/>
      <c r="M238" s="289"/>
      <c r="N238" s="289"/>
      <c r="O238" s="289"/>
      <c r="P238" s="289"/>
      <c r="Q238" s="289"/>
      <c r="R238" s="289"/>
      <c r="S238" s="289"/>
      <c r="T238" s="289"/>
      <c r="U238" s="289"/>
      <c r="V238" s="289"/>
      <c r="X238" s="329"/>
    </row>
    <row r="239" spans="3:24" ht="15.75" customHeight="1">
      <c r="C239" s="328"/>
      <c r="D239" s="289"/>
      <c r="E239" s="289"/>
      <c r="F239" s="289"/>
      <c r="G239" s="289"/>
      <c r="H239" s="289"/>
      <c r="I239" s="611"/>
      <c r="J239" s="289"/>
      <c r="K239" s="289"/>
      <c r="L239" s="289"/>
      <c r="M239" s="289"/>
      <c r="N239" s="289"/>
      <c r="O239" s="289"/>
      <c r="P239" s="289"/>
      <c r="Q239" s="289"/>
      <c r="R239" s="289"/>
      <c r="S239" s="289"/>
      <c r="T239" s="289"/>
      <c r="U239" s="289"/>
      <c r="V239" s="289"/>
      <c r="X239" s="329"/>
    </row>
    <row r="240" spans="3:24" ht="15.75" customHeight="1">
      <c r="C240" s="328"/>
      <c r="D240" s="289"/>
      <c r="E240" s="289"/>
      <c r="F240" s="289"/>
      <c r="G240" s="289"/>
      <c r="H240" s="289"/>
      <c r="I240" s="611"/>
      <c r="J240" s="289"/>
      <c r="K240" s="289"/>
      <c r="L240" s="289"/>
      <c r="M240" s="289"/>
      <c r="N240" s="289"/>
      <c r="O240" s="289"/>
      <c r="P240" s="289"/>
      <c r="Q240" s="289"/>
      <c r="R240" s="289"/>
      <c r="S240" s="289"/>
      <c r="T240" s="289"/>
      <c r="U240" s="289"/>
      <c r="V240" s="289"/>
      <c r="X240" s="329"/>
    </row>
    <row r="241" spans="3:24" ht="15.75" customHeight="1">
      <c r="C241" s="328"/>
      <c r="D241" s="289"/>
      <c r="E241" s="289"/>
      <c r="F241" s="289"/>
      <c r="G241" s="289"/>
      <c r="H241" s="289"/>
      <c r="I241" s="611"/>
      <c r="J241" s="289"/>
      <c r="K241" s="289"/>
      <c r="L241" s="289"/>
      <c r="M241" s="289"/>
      <c r="N241" s="289"/>
      <c r="O241" s="289"/>
      <c r="P241" s="289"/>
      <c r="Q241" s="289"/>
      <c r="R241" s="289"/>
      <c r="S241" s="289"/>
      <c r="T241" s="289"/>
      <c r="U241" s="289"/>
      <c r="V241" s="289"/>
      <c r="X241" s="329"/>
    </row>
    <row r="242" spans="3:24" ht="15.75" customHeight="1">
      <c r="C242" s="328"/>
      <c r="D242" s="289"/>
      <c r="E242" s="289"/>
      <c r="F242" s="289"/>
      <c r="G242" s="289"/>
      <c r="H242" s="289"/>
      <c r="I242" s="611"/>
      <c r="J242" s="289"/>
      <c r="K242" s="289"/>
      <c r="L242" s="289"/>
      <c r="M242" s="289"/>
      <c r="N242" s="289"/>
      <c r="O242" s="289"/>
      <c r="P242" s="289"/>
      <c r="Q242" s="289"/>
      <c r="R242" s="289"/>
      <c r="S242" s="289"/>
      <c r="T242" s="289"/>
      <c r="U242" s="289"/>
      <c r="V242" s="289"/>
      <c r="X242" s="329"/>
    </row>
    <row r="243" spans="3:24" ht="15.75" customHeight="1">
      <c r="C243" s="328"/>
      <c r="D243" s="289"/>
      <c r="E243" s="289"/>
      <c r="F243" s="289"/>
      <c r="G243" s="289"/>
      <c r="H243" s="289"/>
      <c r="I243" s="611"/>
      <c r="J243" s="289"/>
      <c r="K243" s="289"/>
      <c r="L243" s="289"/>
      <c r="M243" s="289"/>
      <c r="N243" s="289"/>
      <c r="O243" s="289"/>
      <c r="P243" s="289"/>
      <c r="Q243" s="289"/>
      <c r="R243" s="289"/>
      <c r="S243" s="289"/>
      <c r="T243" s="289"/>
      <c r="U243" s="289"/>
      <c r="V243" s="289"/>
      <c r="X243" s="329"/>
    </row>
    <row r="244" spans="3:24" ht="15.75" customHeight="1">
      <c r="C244" s="328"/>
      <c r="D244" s="289"/>
      <c r="E244" s="289"/>
      <c r="F244" s="289"/>
      <c r="G244" s="289"/>
      <c r="H244" s="289"/>
      <c r="I244" s="611"/>
      <c r="J244" s="289"/>
      <c r="K244" s="289"/>
      <c r="L244" s="289"/>
      <c r="M244" s="289"/>
      <c r="N244" s="289"/>
      <c r="O244" s="289"/>
      <c r="P244" s="289"/>
      <c r="Q244" s="289"/>
      <c r="R244" s="289"/>
      <c r="S244" s="289"/>
      <c r="T244" s="289"/>
      <c r="U244" s="289"/>
      <c r="V244" s="289"/>
      <c r="X244" s="329"/>
    </row>
    <row r="245" spans="3:24" ht="15.75" customHeight="1">
      <c r="C245" s="328"/>
      <c r="D245" s="289"/>
      <c r="E245" s="289"/>
      <c r="F245" s="289"/>
      <c r="G245" s="289"/>
      <c r="H245" s="289"/>
      <c r="I245" s="611"/>
      <c r="J245" s="289"/>
      <c r="K245" s="289"/>
      <c r="L245" s="289"/>
      <c r="M245" s="289"/>
      <c r="N245" s="289"/>
      <c r="O245" s="289"/>
      <c r="P245" s="289"/>
      <c r="Q245" s="289"/>
      <c r="R245" s="289"/>
      <c r="S245" s="289"/>
      <c r="T245" s="289"/>
      <c r="U245" s="289"/>
      <c r="V245" s="289"/>
      <c r="X245" s="329"/>
    </row>
    <row r="246" spans="3:24" ht="15.75" customHeight="1">
      <c r="C246" s="328"/>
      <c r="D246" s="289"/>
      <c r="E246" s="289"/>
      <c r="F246" s="289"/>
      <c r="G246" s="289"/>
      <c r="H246" s="289"/>
      <c r="I246" s="611"/>
      <c r="J246" s="289"/>
      <c r="K246" s="289"/>
      <c r="L246" s="289"/>
      <c r="M246" s="289"/>
      <c r="N246" s="289"/>
      <c r="O246" s="289"/>
      <c r="P246" s="289"/>
      <c r="Q246" s="289"/>
      <c r="R246" s="289"/>
      <c r="S246" s="289"/>
      <c r="T246" s="289"/>
      <c r="U246" s="289"/>
      <c r="V246" s="289"/>
      <c r="X246" s="329"/>
    </row>
    <row r="247" spans="3:24" ht="15.75" customHeight="1">
      <c r="C247" s="328"/>
      <c r="D247" s="289"/>
      <c r="E247" s="289"/>
      <c r="F247" s="289"/>
      <c r="G247" s="289"/>
      <c r="H247" s="289"/>
      <c r="I247" s="611"/>
      <c r="J247" s="289"/>
      <c r="K247" s="289"/>
      <c r="L247" s="289"/>
      <c r="M247" s="289"/>
      <c r="N247" s="289"/>
      <c r="O247" s="289"/>
      <c r="P247" s="289"/>
      <c r="Q247" s="289"/>
      <c r="R247" s="289"/>
      <c r="S247" s="289"/>
      <c r="T247" s="289"/>
      <c r="U247" s="289"/>
      <c r="V247" s="289"/>
      <c r="X247" s="329"/>
    </row>
    <row r="248" spans="3:24" ht="15.75" customHeight="1">
      <c r="C248" s="328"/>
      <c r="D248" s="289"/>
      <c r="E248" s="289"/>
      <c r="F248" s="289"/>
      <c r="G248" s="289"/>
      <c r="H248" s="289"/>
      <c r="I248" s="611"/>
      <c r="J248" s="289"/>
      <c r="K248" s="289"/>
      <c r="L248" s="289"/>
      <c r="M248" s="289"/>
      <c r="N248" s="289"/>
      <c r="O248" s="289"/>
      <c r="P248" s="289"/>
      <c r="Q248" s="289"/>
      <c r="R248" s="289"/>
      <c r="S248" s="289"/>
      <c r="T248" s="289"/>
      <c r="U248" s="289"/>
      <c r="V248" s="289"/>
      <c r="X248" s="329"/>
    </row>
    <row r="249" spans="3:24" ht="15.75" customHeight="1">
      <c r="C249" s="328"/>
      <c r="D249" s="289"/>
      <c r="E249" s="289"/>
      <c r="F249" s="289"/>
      <c r="G249" s="289"/>
      <c r="H249" s="289"/>
      <c r="I249" s="611"/>
      <c r="J249" s="289"/>
      <c r="K249" s="289"/>
      <c r="L249" s="289"/>
      <c r="M249" s="289"/>
      <c r="N249" s="289"/>
      <c r="O249" s="289"/>
      <c r="P249" s="289"/>
      <c r="Q249" s="289"/>
      <c r="R249" s="289"/>
      <c r="S249" s="289"/>
      <c r="T249" s="289"/>
      <c r="U249" s="289"/>
      <c r="V249" s="289"/>
      <c r="X249" s="329"/>
    </row>
    <row r="250" spans="3:24" ht="15.75" customHeight="1">
      <c r="C250" s="328"/>
      <c r="D250" s="289"/>
      <c r="E250" s="289"/>
      <c r="F250" s="289"/>
      <c r="G250" s="289"/>
      <c r="H250" s="289"/>
      <c r="I250" s="611"/>
      <c r="J250" s="289"/>
      <c r="K250" s="289"/>
      <c r="L250" s="289"/>
      <c r="M250" s="289"/>
      <c r="N250" s="289"/>
      <c r="O250" s="289"/>
      <c r="P250" s="289"/>
      <c r="Q250" s="289"/>
      <c r="R250" s="289"/>
      <c r="S250" s="289"/>
      <c r="T250" s="289"/>
      <c r="U250" s="289"/>
      <c r="V250" s="289"/>
      <c r="X250" s="329"/>
    </row>
    <row r="251" spans="3:24" ht="15.75" customHeight="1">
      <c r="C251" s="328"/>
      <c r="D251" s="289"/>
      <c r="E251" s="289"/>
      <c r="F251" s="289"/>
      <c r="G251" s="289"/>
      <c r="H251" s="289"/>
      <c r="I251" s="611"/>
      <c r="J251" s="289"/>
      <c r="K251" s="289"/>
      <c r="L251" s="289"/>
      <c r="M251" s="289"/>
      <c r="N251" s="289"/>
      <c r="O251" s="289"/>
      <c r="P251" s="289"/>
      <c r="Q251" s="289"/>
      <c r="R251" s="289"/>
      <c r="S251" s="289"/>
      <c r="T251" s="289"/>
      <c r="U251" s="289"/>
      <c r="V251" s="289"/>
      <c r="X251" s="329"/>
    </row>
    <row r="252" spans="3:24" ht="15.75" customHeight="1">
      <c r="C252" s="328"/>
      <c r="D252" s="289"/>
      <c r="E252" s="289"/>
      <c r="F252" s="289"/>
      <c r="G252" s="289"/>
      <c r="H252" s="289"/>
      <c r="I252" s="611"/>
      <c r="J252" s="289"/>
      <c r="K252" s="289"/>
      <c r="L252" s="289"/>
      <c r="M252" s="289"/>
      <c r="N252" s="289"/>
      <c r="O252" s="289"/>
      <c r="P252" s="289"/>
      <c r="Q252" s="289"/>
      <c r="R252" s="289"/>
      <c r="S252" s="289"/>
      <c r="T252" s="289"/>
      <c r="U252" s="289"/>
      <c r="V252" s="289"/>
      <c r="X252" s="329"/>
    </row>
    <row r="253" spans="3:24" ht="15.75" customHeight="1">
      <c r="C253" s="328"/>
      <c r="D253" s="289"/>
      <c r="E253" s="289"/>
      <c r="F253" s="289"/>
      <c r="G253" s="289"/>
      <c r="H253" s="289"/>
      <c r="I253" s="611"/>
      <c r="J253" s="289"/>
      <c r="K253" s="289"/>
      <c r="L253" s="289"/>
      <c r="M253" s="289"/>
      <c r="N253" s="289"/>
      <c r="O253" s="289"/>
      <c r="P253" s="289"/>
      <c r="Q253" s="289"/>
      <c r="R253" s="289"/>
      <c r="S253" s="289"/>
      <c r="T253" s="289"/>
      <c r="U253" s="289"/>
      <c r="V253" s="289"/>
      <c r="X253" s="329"/>
    </row>
    <row r="254" spans="3:24" ht="15.75" customHeight="1">
      <c r="C254" s="328"/>
      <c r="D254" s="289"/>
      <c r="E254" s="289"/>
      <c r="F254" s="289"/>
      <c r="G254" s="289"/>
      <c r="H254" s="289"/>
      <c r="I254" s="611"/>
      <c r="J254" s="289"/>
      <c r="K254" s="289"/>
      <c r="L254" s="289"/>
      <c r="M254" s="289"/>
      <c r="N254" s="289"/>
      <c r="O254" s="289"/>
      <c r="P254" s="289"/>
      <c r="Q254" s="289"/>
      <c r="R254" s="289"/>
      <c r="S254" s="289"/>
      <c r="T254" s="289"/>
      <c r="U254" s="289"/>
      <c r="V254" s="289"/>
      <c r="X254" s="329"/>
    </row>
    <row r="255" spans="3:24" ht="15.75" customHeight="1">
      <c r="C255" s="328"/>
      <c r="D255" s="289"/>
      <c r="E255" s="289"/>
      <c r="F255" s="289"/>
      <c r="G255" s="289"/>
      <c r="H255" s="289"/>
      <c r="I255" s="611"/>
      <c r="J255" s="289"/>
      <c r="K255" s="289"/>
      <c r="L255" s="289"/>
      <c r="M255" s="289"/>
      <c r="N255" s="289"/>
      <c r="O255" s="289"/>
      <c r="P255" s="289"/>
      <c r="Q255" s="289"/>
      <c r="R255" s="289"/>
      <c r="S255" s="289"/>
      <c r="T255" s="289"/>
      <c r="U255" s="289"/>
      <c r="V255" s="289"/>
      <c r="X255" s="329"/>
    </row>
    <row r="256" spans="3:24" ht="15.75" customHeight="1">
      <c r="C256" s="328"/>
      <c r="D256" s="289"/>
      <c r="E256" s="289"/>
      <c r="F256" s="289"/>
      <c r="G256" s="289"/>
      <c r="H256" s="289"/>
      <c r="I256" s="611"/>
      <c r="J256" s="289"/>
      <c r="K256" s="289"/>
      <c r="L256" s="289"/>
      <c r="M256" s="289"/>
      <c r="N256" s="289"/>
      <c r="O256" s="289"/>
      <c r="P256" s="289"/>
      <c r="Q256" s="289"/>
      <c r="R256" s="289"/>
      <c r="S256" s="289"/>
      <c r="T256" s="289"/>
      <c r="U256" s="289"/>
      <c r="V256" s="289"/>
      <c r="X256" s="329"/>
    </row>
    <row r="257" spans="3:24" ht="15.75" customHeight="1">
      <c r="C257" s="328"/>
      <c r="D257" s="289"/>
      <c r="E257" s="289"/>
      <c r="F257" s="289"/>
      <c r="G257" s="289"/>
      <c r="H257" s="289"/>
      <c r="I257" s="611"/>
      <c r="J257" s="289"/>
      <c r="K257" s="289"/>
      <c r="L257" s="289"/>
      <c r="M257" s="289"/>
      <c r="N257" s="289"/>
      <c r="O257" s="289"/>
      <c r="P257" s="289"/>
      <c r="Q257" s="289"/>
      <c r="R257" s="289"/>
      <c r="S257" s="289"/>
      <c r="T257" s="289"/>
      <c r="U257" s="289"/>
      <c r="V257" s="289"/>
      <c r="X257" s="329"/>
    </row>
    <row r="258" spans="3:24" ht="15.75" customHeight="1">
      <c r="C258" s="328"/>
      <c r="D258" s="289"/>
      <c r="E258" s="289"/>
      <c r="F258" s="289"/>
      <c r="G258" s="289"/>
      <c r="H258" s="289"/>
      <c r="I258" s="611"/>
      <c r="J258" s="289"/>
      <c r="K258" s="289"/>
      <c r="L258" s="289"/>
      <c r="M258" s="289"/>
      <c r="N258" s="289"/>
      <c r="O258" s="289"/>
      <c r="P258" s="289"/>
      <c r="Q258" s="289"/>
      <c r="R258" s="289"/>
      <c r="S258" s="289"/>
      <c r="T258" s="289"/>
      <c r="U258" s="289"/>
      <c r="V258" s="289"/>
      <c r="X258" s="329"/>
    </row>
    <row r="259" spans="3:24" ht="15.75" customHeight="1">
      <c r="C259" s="328"/>
      <c r="D259" s="289"/>
      <c r="E259" s="289"/>
      <c r="F259" s="289"/>
      <c r="G259" s="289"/>
      <c r="H259" s="289"/>
      <c r="I259" s="611"/>
      <c r="J259" s="289"/>
      <c r="K259" s="289"/>
      <c r="L259" s="289"/>
      <c r="M259" s="289"/>
      <c r="N259" s="289"/>
      <c r="O259" s="289"/>
      <c r="P259" s="289"/>
      <c r="Q259" s="289"/>
      <c r="R259" s="289"/>
      <c r="S259" s="289"/>
      <c r="T259" s="289"/>
      <c r="U259" s="289"/>
      <c r="V259" s="289"/>
      <c r="X259" s="329"/>
    </row>
    <row r="260" spans="3:24" ht="15.75" customHeight="1">
      <c r="C260" s="328"/>
      <c r="D260" s="289"/>
      <c r="E260" s="289"/>
      <c r="F260" s="289"/>
      <c r="G260" s="289"/>
      <c r="H260" s="289"/>
      <c r="I260" s="611"/>
      <c r="J260" s="289"/>
      <c r="K260" s="289"/>
      <c r="L260" s="289"/>
      <c r="M260" s="289"/>
      <c r="N260" s="289"/>
      <c r="O260" s="289"/>
      <c r="P260" s="289"/>
      <c r="Q260" s="289"/>
      <c r="R260" s="289"/>
      <c r="S260" s="289"/>
      <c r="T260" s="289"/>
      <c r="U260" s="289"/>
      <c r="V260" s="289"/>
      <c r="X260" s="329"/>
    </row>
    <row r="261" spans="3:24" ht="15.75" customHeight="1">
      <c r="C261" s="328"/>
      <c r="D261" s="289"/>
      <c r="E261" s="289"/>
      <c r="F261" s="289"/>
      <c r="G261" s="289"/>
      <c r="H261" s="289"/>
      <c r="I261" s="611"/>
      <c r="J261" s="289"/>
      <c r="K261" s="289"/>
      <c r="L261" s="289"/>
      <c r="M261" s="289"/>
      <c r="N261" s="289"/>
      <c r="O261" s="289"/>
      <c r="P261" s="289"/>
      <c r="Q261" s="289"/>
      <c r="R261" s="289"/>
      <c r="S261" s="289"/>
      <c r="T261" s="289"/>
      <c r="U261" s="289"/>
      <c r="V261" s="289"/>
      <c r="X261" s="329"/>
    </row>
    <row r="262" spans="3:24" ht="15.75" customHeight="1">
      <c r="C262" s="328"/>
      <c r="D262" s="289"/>
      <c r="E262" s="289"/>
      <c r="F262" s="289"/>
      <c r="G262" s="289"/>
      <c r="H262" s="289"/>
      <c r="I262" s="611"/>
      <c r="J262" s="289"/>
      <c r="K262" s="289"/>
      <c r="L262" s="289"/>
      <c r="M262" s="289"/>
      <c r="N262" s="289"/>
      <c r="O262" s="289"/>
      <c r="P262" s="289"/>
      <c r="Q262" s="289"/>
      <c r="R262" s="289"/>
      <c r="S262" s="289"/>
      <c r="T262" s="289"/>
      <c r="U262" s="289"/>
      <c r="V262" s="289"/>
      <c r="X262" s="329"/>
    </row>
    <row r="263" spans="3:24" ht="15.75" customHeight="1">
      <c r="C263" s="328"/>
      <c r="D263" s="289"/>
      <c r="E263" s="289"/>
      <c r="F263" s="289"/>
      <c r="G263" s="289"/>
      <c r="H263" s="289"/>
      <c r="I263" s="611"/>
      <c r="J263" s="289"/>
      <c r="K263" s="289"/>
      <c r="L263" s="289"/>
      <c r="M263" s="289"/>
      <c r="N263" s="289"/>
      <c r="O263" s="289"/>
      <c r="P263" s="289"/>
      <c r="Q263" s="289"/>
      <c r="R263" s="289"/>
      <c r="S263" s="289"/>
      <c r="T263" s="289"/>
      <c r="U263" s="289"/>
      <c r="V263" s="289"/>
      <c r="X263" s="329"/>
    </row>
    <row r="264" spans="3:24" ht="15.75" customHeight="1">
      <c r="X264" s="329"/>
    </row>
    <row r="265" spans="3:24" ht="15.75" customHeight="1">
      <c r="X265" s="329"/>
    </row>
    <row r="266" spans="3:24" ht="15.75" customHeight="1">
      <c r="X266" s="329"/>
    </row>
    <row r="267" spans="3:24" ht="15.75" customHeight="1">
      <c r="X267" s="329"/>
    </row>
    <row r="268" spans="3:24" ht="15.75" customHeight="1">
      <c r="X268" s="329"/>
    </row>
    <row r="269" spans="3:24" ht="15.75" customHeight="1">
      <c r="X269" s="329"/>
    </row>
    <row r="270" spans="3:24" ht="15.75" customHeight="1">
      <c r="X270" s="329"/>
    </row>
    <row r="271" spans="3:24" ht="15.75" customHeight="1">
      <c r="X271" s="329"/>
    </row>
    <row r="272" spans="3:24" ht="15.75" customHeight="1">
      <c r="X272" s="329"/>
    </row>
    <row r="273" spans="24:24" ht="15.75" customHeight="1">
      <c r="X273" s="329"/>
    </row>
    <row r="274" spans="24:24" ht="15.75" customHeight="1">
      <c r="X274" s="329"/>
    </row>
    <row r="275" spans="24:24" ht="15.75" customHeight="1">
      <c r="X275" s="329"/>
    </row>
    <row r="276" spans="24:24" ht="15.75" customHeight="1">
      <c r="X276" s="329"/>
    </row>
    <row r="277" spans="24:24" ht="15.75" customHeight="1">
      <c r="X277" s="329"/>
    </row>
    <row r="278" spans="24:24" ht="15.75" customHeight="1">
      <c r="X278" s="329"/>
    </row>
    <row r="279" spans="24:24" ht="15.75" customHeight="1">
      <c r="X279" s="329"/>
    </row>
    <row r="280" spans="24:24" ht="15.75" customHeight="1">
      <c r="X280" s="329"/>
    </row>
    <row r="281" spans="24:24" ht="15.75" customHeight="1">
      <c r="X281" s="329"/>
    </row>
    <row r="282" spans="24:24" ht="15.75" customHeight="1">
      <c r="X282" s="329"/>
    </row>
    <row r="283" spans="24:24" ht="15.75" customHeight="1">
      <c r="X283" s="329"/>
    </row>
    <row r="284" spans="24:24" ht="15.75" customHeight="1">
      <c r="X284" s="329"/>
    </row>
    <row r="285" spans="24:24" ht="15.75" customHeight="1">
      <c r="X285" s="329"/>
    </row>
    <row r="286" spans="24:24" ht="15.75" customHeight="1">
      <c r="X286" s="329"/>
    </row>
    <row r="287" spans="24:24" ht="15.75" customHeight="1">
      <c r="X287" s="329"/>
    </row>
    <row r="288" spans="24:24" ht="15.75" customHeight="1">
      <c r="X288" s="329"/>
    </row>
    <row r="289" spans="24:24" ht="15.75" customHeight="1">
      <c r="X289" s="329"/>
    </row>
    <row r="290" spans="24:24" ht="15.75" customHeight="1">
      <c r="X290" s="329"/>
    </row>
    <row r="291" spans="24:24" ht="15.75" customHeight="1">
      <c r="X291" s="329"/>
    </row>
    <row r="292" spans="24:24" ht="15.75" customHeight="1">
      <c r="X292" s="329"/>
    </row>
    <row r="293" spans="24:24" ht="15.75" customHeight="1">
      <c r="X293" s="329"/>
    </row>
    <row r="294" spans="24:24" ht="15.75" customHeight="1">
      <c r="X294" s="329"/>
    </row>
    <row r="295" spans="24:24" ht="15.75" customHeight="1">
      <c r="X295" s="329"/>
    </row>
    <row r="296" spans="24:24" ht="15.75" customHeight="1">
      <c r="X296" s="329"/>
    </row>
    <row r="297" spans="24:24" ht="15.75" customHeight="1">
      <c r="X297" s="329"/>
    </row>
    <row r="298" spans="24:24" ht="15.75" customHeight="1">
      <c r="X298" s="329"/>
    </row>
    <row r="299" spans="24:24" ht="15.75" customHeight="1">
      <c r="X299" s="329"/>
    </row>
    <row r="300" spans="24:24" ht="15.75" customHeight="1">
      <c r="X300" s="329"/>
    </row>
    <row r="301" spans="24:24" ht="15.75" customHeight="1">
      <c r="X301" s="329"/>
    </row>
    <row r="302" spans="24:24" ht="15.75" customHeight="1">
      <c r="X302" s="329"/>
    </row>
    <row r="303" spans="24:24" ht="15.75" customHeight="1">
      <c r="X303" s="329"/>
    </row>
    <row r="304" spans="24:24" ht="15.75" customHeight="1">
      <c r="X304" s="329"/>
    </row>
    <row r="305" spans="24:24" ht="15.75" customHeight="1">
      <c r="X305" s="329"/>
    </row>
    <row r="306" spans="24:24" ht="15.75" customHeight="1">
      <c r="X306" s="329"/>
    </row>
    <row r="307" spans="24:24" ht="15.75" customHeight="1">
      <c r="X307" s="329"/>
    </row>
    <row r="308" spans="24:24" ht="15.75" customHeight="1">
      <c r="X308" s="329"/>
    </row>
    <row r="309" spans="24:24" ht="15.75" customHeight="1">
      <c r="X309" s="329"/>
    </row>
    <row r="310" spans="24:24" ht="15.75" customHeight="1">
      <c r="X310" s="329"/>
    </row>
    <row r="311" spans="24:24" ht="15.75" customHeight="1">
      <c r="X311" s="329"/>
    </row>
    <row r="312" spans="24:24" ht="15.75" customHeight="1">
      <c r="X312" s="329"/>
    </row>
    <row r="313" spans="24:24" ht="15.75" customHeight="1">
      <c r="X313" s="329"/>
    </row>
    <row r="314" spans="24:24" ht="15.75" customHeight="1">
      <c r="X314" s="329"/>
    </row>
    <row r="315" spans="24:24" ht="15.75" customHeight="1">
      <c r="X315" s="329"/>
    </row>
    <row r="316" spans="24:24" ht="15.75" customHeight="1">
      <c r="X316" s="329"/>
    </row>
    <row r="317" spans="24:24" ht="15.75" customHeight="1">
      <c r="X317" s="329"/>
    </row>
    <row r="318" spans="24:24" ht="15.75" customHeight="1">
      <c r="X318" s="329"/>
    </row>
    <row r="319" spans="24:24" ht="15.75" customHeight="1">
      <c r="X319" s="329"/>
    </row>
    <row r="320" spans="24:24" ht="15.75" customHeight="1">
      <c r="X320" s="329"/>
    </row>
    <row r="321" spans="24:24" ht="15.75" customHeight="1">
      <c r="X321" s="329"/>
    </row>
    <row r="322" spans="24:24" ht="15.75" customHeight="1">
      <c r="X322" s="329"/>
    </row>
    <row r="323" spans="24:24" ht="15.75" customHeight="1">
      <c r="X323" s="329"/>
    </row>
    <row r="324" spans="24:24" ht="15.75" customHeight="1">
      <c r="X324" s="329"/>
    </row>
    <row r="325" spans="24:24" ht="15.75" customHeight="1">
      <c r="X325" s="329"/>
    </row>
    <row r="326" spans="24:24" ht="15.75" customHeight="1">
      <c r="X326" s="329"/>
    </row>
    <row r="327" spans="24:24" ht="15.75" customHeight="1">
      <c r="X327" s="329"/>
    </row>
    <row r="328" spans="24:24" ht="15.75" customHeight="1">
      <c r="X328" s="329"/>
    </row>
    <row r="329" spans="24:24" ht="15.75" customHeight="1">
      <c r="X329" s="329"/>
    </row>
    <row r="330" spans="24:24" ht="15.75" customHeight="1">
      <c r="X330" s="329"/>
    </row>
    <row r="331" spans="24:24" ht="15.75" customHeight="1">
      <c r="X331" s="329"/>
    </row>
    <row r="332" spans="24:24" ht="15.75" customHeight="1">
      <c r="X332" s="329"/>
    </row>
    <row r="333" spans="24:24" ht="15.75" customHeight="1">
      <c r="X333" s="329"/>
    </row>
    <row r="334" spans="24:24" ht="15.75" customHeight="1">
      <c r="X334" s="329"/>
    </row>
    <row r="335" spans="24:24" ht="15.75" customHeight="1">
      <c r="X335" s="329"/>
    </row>
    <row r="336" spans="24:24" ht="15.75" customHeight="1">
      <c r="X336" s="329"/>
    </row>
    <row r="337" spans="24:24" ht="15.75" customHeight="1">
      <c r="X337" s="329"/>
    </row>
    <row r="338" spans="24:24" ht="15.75" customHeight="1">
      <c r="X338" s="329"/>
    </row>
    <row r="339" spans="24:24" ht="15.75" customHeight="1">
      <c r="X339" s="329"/>
    </row>
    <row r="340" spans="24:24" ht="15.75" customHeight="1">
      <c r="X340" s="329"/>
    </row>
    <row r="341" spans="24:24" ht="15.75" customHeight="1">
      <c r="X341" s="329"/>
    </row>
    <row r="342" spans="24:24" ht="15.75" customHeight="1">
      <c r="X342" s="329"/>
    </row>
    <row r="343" spans="24:24" ht="15.75" customHeight="1">
      <c r="X343" s="329"/>
    </row>
    <row r="344" spans="24:24" ht="15.75" customHeight="1">
      <c r="X344" s="329"/>
    </row>
    <row r="345" spans="24:24" ht="15.75" customHeight="1">
      <c r="X345" s="329"/>
    </row>
    <row r="346" spans="24:24" ht="15.75" customHeight="1">
      <c r="X346" s="329"/>
    </row>
    <row r="347" spans="24:24" ht="15.75" customHeight="1">
      <c r="X347" s="329"/>
    </row>
    <row r="348" spans="24:24" ht="15.75" customHeight="1">
      <c r="X348" s="329"/>
    </row>
    <row r="349" spans="24:24" ht="15.75" customHeight="1">
      <c r="X349" s="329"/>
    </row>
    <row r="350" spans="24:24" ht="15.75" customHeight="1">
      <c r="X350" s="329"/>
    </row>
    <row r="351" spans="24:24" ht="15.75" customHeight="1">
      <c r="X351" s="329"/>
    </row>
    <row r="352" spans="24:24" ht="15.75" customHeight="1">
      <c r="X352" s="329"/>
    </row>
    <row r="353" spans="24:24" ht="15.75" customHeight="1">
      <c r="X353" s="329"/>
    </row>
    <row r="354" spans="24:24" ht="15.75" customHeight="1">
      <c r="X354" s="329"/>
    </row>
    <row r="355" spans="24:24" ht="15.75" customHeight="1">
      <c r="X355" s="329"/>
    </row>
    <row r="356" spans="24:24" ht="15.75" customHeight="1">
      <c r="X356" s="329"/>
    </row>
    <row r="357" spans="24:24" ht="15.75" customHeight="1">
      <c r="X357" s="329"/>
    </row>
    <row r="358" spans="24:24" ht="15.75" customHeight="1">
      <c r="X358" s="329"/>
    </row>
    <row r="359" spans="24:24" ht="15.75" customHeight="1">
      <c r="X359" s="329"/>
    </row>
    <row r="360" spans="24:24" ht="15.75" customHeight="1">
      <c r="X360" s="329"/>
    </row>
    <row r="361" spans="24:24" ht="15.75" customHeight="1">
      <c r="X361" s="329"/>
    </row>
    <row r="362" spans="24:24" ht="15.75" customHeight="1">
      <c r="X362" s="329"/>
    </row>
    <row r="363" spans="24:24" ht="15.75" customHeight="1">
      <c r="X363" s="329"/>
    </row>
    <row r="364" spans="24:24" ht="15.75" customHeight="1">
      <c r="X364" s="329"/>
    </row>
    <row r="365" spans="24:24" ht="15.75" customHeight="1">
      <c r="X365" s="329"/>
    </row>
    <row r="366" spans="24:24" ht="15.75" customHeight="1">
      <c r="X366" s="329"/>
    </row>
    <row r="367" spans="24:24" ht="15.75" customHeight="1">
      <c r="X367" s="329"/>
    </row>
    <row r="368" spans="24:24" ht="15.75" customHeight="1">
      <c r="X368" s="329"/>
    </row>
    <row r="369" spans="24:24" ht="15.75" customHeight="1">
      <c r="X369" s="329"/>
    </row>
    <row r="370" spans="24:24" ht="15.75" customHeight="1">
      <c r="X370" s="329"/>
    </row>
    <row r="371" spans="24:24" ht="15.75" customHeight="1">
      <c r="X371" s="329"/>
    </row>
    <row r="372" spans="24:24" ht="15.75" customHeight="1">
      <c r="X372" s="329"/>
    </row>
    <row r="373" spans="24:24" ht="15.75" customHeight="1">
      <c r="X373" s="329"/>
    </row>
    <row r="374" spans="24:24" ht="15.75" customHeight="1">
      <c r="X374" s="329"/>
    </row>
    <row r="375" spans="24:24" ht="15.75" customHeight="1">
      <c r="X375" s="329"/>
    </row>
    <row r="376" spans="24:24" ht="15.75" customHeight="1">
      <c r="X376" s="329"/>
    </row>
    <row r="377" spans="24:24" ht="15.75" customHeight="1">
      <c r="X377" s="329"/>
    </row>
    <row r="378" spans="24:24" ht="15.75" customHeight="1">
      <c r="X378" s="329"/>
    </row>
    <row r="379" spans="24:24" ht="15.75" customHeight="1">
      <c r="X379" s="329"/>
    </row>
    <row r="380" spans="24:24" ht="15.75" customHeight="1">
      <c r="X380" s="329"/>
    </row>
    <row r="381" spans="24:24" ht="15.75" customHeight="1">
      <c r="X381" s="329"/>
    </row>
    <row r="382" spans="24:24" ht="15.75" customHeight="1">
      <c r="X382" s="329"/>
    </row>
    <row r="383" spans="24:24" ht="15.75" customHeight="1">
      <c r="X383" s="329"/>
    </row>
    <row r="384" spans="24:24" ht="15.75" customHeight="1">
      <c r="X384" s="329"/>
    </row>
    <row r="385" spans="24:24" ht="15.75" customHeight="1">
      <c r="X385" s="329"/>
    </row>
    <row r="386" spans="24:24" ht="15.75" customHeight="1">
      <c r="X386" s="329"/>
    </row>
    <row r="387" spans="24:24" ht="15.75" customHeight="1">
      <c r="X387" s="329"/>
    </row>
    <row r="388" spans="24:24" ht="15.75" customHeight="1">
      <c r="X388" s="329"/>
    </row>
    <row r="389" spans="24:24" ht="15.75" customHeight="1">
      <c r="X389" s="329"/>
    </row>
    <row r="390" spans="24:24" ht="15.75" customHeight="1">
      <c r="X390" s="329"/>
    </row>
    <row r="391" spans="24:24" ht="15.75" customHeight="1">
      <c r="X391" s="329"/>
    </row>
    <row r="392" spans="24:24" ht="15.75" customHeight="1">
      <c r="X392" s="329"/>
    </row>
    <row r="393" spans="24:24" ht="15.75" customHeight="1">
      <c r="X393" s="329"/>
    </row>
    <row r="394" spans="24:24" ht="15.75" customHeight="1">
      <c r="X394" s="329"/>
    </row>
    <row r="395" spans="24:24" ht="15.75" customHeight="1">
      <c r="X395" s="329"/>
    </row>
    <row r="396" spans="24:24" ht="15.75" customHeight="1">
      <c r="X396" s="329"/>
    </row>
    <row r="397" spans="24:24" ht="15.75" customHeight="1">
      <c r="X397" s="329"/>
    </row>
    <row r="398" spans="24:24" ht="15.75" customHeight="1">
      <c r="X398" s="329"/>
    </row>
    <row r="399" spans="24:24" ht="15.75" customHeight="1">
      <c r="X399" s="329"/>
    </row>
    <row r="400" spans="24:24" ht="15.75" customHeight="1">
      <c r="X400" s="329"/>
    </row>
    <row r="401" spans="24:24" ht="15.75" customHeight="1">
      <c r="X401" s="329"/>
    </row>
    <row r="402" spans="24:24" ht="15.75" customHeight="1">
      <c r="X402" s="329"/>
    </row>
    <row r="403" spans="24:24" ht="15.75" customHeight="1">
      <c r="X403" s="329"/>
    </row>
    <row r="404" spans="24:24" ht="15.75" customHeight="1">
      <c r="X404" s="329"/>
    </row>
    <row r="405" spans="24:24" ht="15.75" customHeight="1">
      <c r="X405" s="329"/>
    </row>
    <row r="406" spans="24:24" ht="15.75" customHeight="1">
      <c r="X406" s="329"/>
    </row>
    <row r="407" spans="24:24" ht="15.75" customHeight="1">
      <c r="X407" s="329"/>
    </row>
    <row r="408" spans="24:24" ht="15.75" customHeight="1">
      <c r="X408" s="329"/>
    </row>
    <row r="409" spans="24:24" ht="15.75" customHeight="1">
      <c r="X409" s="329"/>
    </row>
    <row r="410" spans="24:24" ht="15.75" customHeight="1">
      <c r="X410" s="329"/>
    </row>
    <row r="411" spans="24:24" ht="15.75" customHeight="1">
      <c r="X411" s="329"/>
    </row>
    <row r="412" spans="24:24" ht="15.75" customHeight="1">
      <c r="X412" s="329"/>
    </row>
    <row r="413" spans="24:24" ht="15.75" customHeight="1">
      <c r="X413" s="329"/>
    </row>
    <row r="414" spans="24:24" ht="15.75" customHeight="1">
      <c r="X414" s="329"/>
    </row>
    <row r="415" spans="24:24" ht="15.75" customHeight="1">
      <c r="X415" s="329"/>
    </row>
    <row r="416" spans="24:24" ht="15.75" customHeight="1">
      <c r="X416" s="329"/>
    </row>
    <row r="417" spans="24:24" ht="15.75" customHeight="1">
      <c r="X417" s="329"/>
    </row>
    <row r="418" spans="24:24" ht="15.75" customHeight="1">
      <c r="X418" s="329"/>
    </row>
    <row r="419" spans="24:24" ht="15.75" customHeight="1">
      <c r="X419" s="329"/>
    </row>
    <row r="420" spans="24:24" ht="15.75" customHeight="1">
      <c r="X420" s="329"/>
    </row>
    <row r="421" spans="24:24" ht="15.75" customHeight="1">
      <c r="X421" s="329"/>
    </row>
    <row r="422" spans="24:24" ht="15.75" customHeight="1">
      <c r="X422" s="329"/>
    </row>
    <row r="423" spans="24:24" ht="15.75" customHeight="1">
      <c r="X423" s="329"/>
    </row>
    <row r="424" spans="24:24" ht="15.75" customHeight="1">
      <c r="X424" s="329"/>
    </row>
    <row r="425" spans="24:24" ht="15.75" customHeight="1">
      <c r="X425" s="329"/>
    </row>
    <row r="426" spans="24:24" ht="15.75" customHeight="1">
      <c r="X426" s="329"/>
    </row>
    <row r="427" spans="24:24" ht="15.75" customHeight="1">
      <c r="X427" s="329"/>
    </row>
    <row r="428" spans="24:24" ht="15.75" customHeight="1">
      <c r="X428" s="329"/>
    </row>
    <row r="429" spans="24:24" ht="15.75" customHeight="1">
      <c r="X429" s="329"/>
    </row>
    <row r="430" spans="24:24" ht="15.75" customHeight="1">
      <c r="X430" s="329"/>
    </row>
    <row r="431" spans="24:24" ht="15.75" customHeight="1">
      <c r="X431" s="329"/>
    </row>
    <row r="432" spans="24:24" ht="15.75" customHeight="1">
      <c r="X432" s="329"/>
    </row>
    <row r="433" spans="24:24" ht="15.75" customHeight="1">
      <c r="X433" s="329"/>
    </row>
    <row r="434" spans="24:24" ht="15.75" customHeight="1">
      <c r="X434" s="329"/>
    </row>
    <row r="435" spans="24:24" ht="15.75" customHeight="1">
      <c r="X435" s="329"/>
    </row>
    <row r="436" spans="24:24" ht="15.75" customHeight="1">
      <c r="X436" s="329"/>
    </row>
    <row r="437" spans="24:24" ht="15.75" customHeight="1">
      <c r="X437" s="329"/>
    </row>
    <row r="438" spans="24:24" ht="15.75" customHeight="1">
      <c r="X438" s="329"/>
    </row>
    <row r="439" spans="24:24" ht="15.75" customHeight="1">
      <c r="X439" s="329"/>
    </row>
    <row r="440" spans="24:24" ht="15.75" customHeight="1">
      <c r="X440" s="329"/>
    </row>
    <row r="441" spans="24:24" ht="15.75" customHeight="1">
      <c r="X441" s="329"/>
    </row>
    <row r="442" spans="24:24" ht="15.75" customHeight="1">
      <c r="X442" s="329"/>
    </row>
    <row r="443" spans="24:24" ht="15.75" customHeight="1">
      <c r="X443" s="329"/>
    </row>
    <row r="444" spans="24:24" ht="15.75" customHeight="1">
      <c r="X444" s="329"/>
    </row>
    <row r="445" spans="24:24" ht="15.75" customHeight="1">
      <c r="X445" s="329"/>
    </row>
    <row r="446" spans="24:24" ht="15.75" customHeight="1">
      <c r="X446" s="329"/>
    </row>
    <row r="447" spans="24:24" ht="15.75" customHeight="1">
      <c r="X447" s="329"/>
    </row>
    <row r="448" spans="24:24" ht="15.75" customHeight="1">
      <c r="X448" s="329"/>
    </row>
    <row r="449" spans="24:24" ht="15.75" customHeight="1">
      <c r="X449" s="329"/>
    </row>
    <row r="450" spans="24:24" ht="15.75" customHeight="1">
      <c r="X450" s="329"/>
    </row>
    <row r="451" spans="24:24" ht="15.75" customHeight="1">
      <c r="X451" s="329"/>
    </row>
    <row r="452" spans="24:24" ht="15.75" customHeight="1">
      <c r="X452" s="329"/>
    </row>
    <row r="453" spans="24:24" ht="15.75" customHeight="1">
      <c r="X453" s="329"/>
    </row>
    <row r="454" spans="24:24" ht="15.75" customHeight="1">
      <c r="X454" s="329"/>
    </row>
    <row r="455" spans="24:24" ht="15.75" customHeight="1">
      <c r="X455" s="329"/>
    </row>
    <row r="456" spans="24:24" ht="15.75" customHeight="1">
      <c r="X456" s="329"/>
    </row>
    <row r="457" spans="24:24" ht="15.75" customHeight="1">
      <c r="X457" s="329"/>
    </row>
    <row r="458" spans="24:24" ht="15.75" customHeight="1">
      <c r="X458" s="329"/>
    </row>
    <row r="459" spans="24:24" ht="15.75" customHeight="1">
      <c r="X459" s="329"/>
    </row>
    <row r="460" spans="24:24" ht="15.75" customHeight="1">
      <c r="X460" s="329"/>
    </row>
    <row r="461" spans="24:24" ht="15.75" customHeight="1">
      <c r="X461" s="329"/>
    </row>
    <row r="462" spans="24:24" ht="15.75" customHeight="1">
      <c r="X462" s="329"/>
    </row>
    <row r="463" spans="24:24" ht="15.75" customHeight="1">
      <c r="X463" s="329"/>
    </row>
    <row r="464" spans="24:24" ht="15.75" customHeight="1">
      <c r="X464" s="329"/>
    </row>
    <row r="465" spans="24:24" ht="15.75" customHeight="1">
      <c r="X465" s="329"/>
    </row>
    <row r="466" spans="24:24" ht="15.75" customHeight="1">
      <c r="X466" s="329"/>
    </row>
    <row r="467" spans="24:24" ht="15.75" customHeight="1">
      <c r="X467" s="329"/>
    </row>
    <row r="468" spans="24:24" ht="15.75" customHeight="1">
      <c r="X468" s="329"/>
    </row>
    <row r="469" spans="24:24" ht="15.75" customHeight="1">
      <c r="X469" s="329"/>
    </row>
    <row r="470" spans="24:24" ht="15.75" customHeight="1">
      <c r="X470" s="329"/>
    </row>
    <row r="471" spans="24:24" ht="15.75" customHeight="1">
      <c r="X471" s="329"/>
    </row>
    <row r="472" spans="24:24" ht="15.75" customHeight="1">
      <c r="X472" s="329"/>
    </row>
    <row r="473" spans="24:24" ht="15.75" customHeight="1">
      <c r="X473" s="329"/>
    </row>
    <row r="474" spans="24:24" ht="15.75" customHeight="1">
      <c r="X474" s="329"/>
    </row>
    <row r="475" spans="24:24" ht="15.75" customHeight="1">
      <c r="X475" s="329"/>
    </row>
    <row r="476" spans="24:24" ht="15.75" customHeight="1">
      <c r="X476" s="329"/>
    </row>
    <row r="477" spans="24:24" ht="15.75" customHeight="1">
      <c r="X477" s="329"/>
    </row>
    <row r="478" spans="24:24" ht="15.75" customHeight="1">
      <c r="X478" s="329"/>
    </row>
    <row r="479" spans="24:24" ht="15.75" customHeight="1">
      <c r="X479" s="329"/>
    </row>
    <row r="480" spans="24:24" ht="15.75" customHeight="1">
      <c r="X480" s="329"/>
    </row>
    <row r="481" spans="24:24" ht="15.75" customHeight="1">
      <c r="X481" s="329"/>
    </row>
    <row r="482" spans="24:24" ht="15.75" customHeight="1">
      <c r="X482" s="329"/>
    </row>
    <row r="483" spans="24:24" ht="15.75" customHeight="1">
      <c r="X483" s="329"/>
    </row>
    <row r="484" spans="24:24" ht="15.75" customHeight="1">
      <c r="X484" s="329"/>
    </row>
    <row r="485" spans="24:24" ht="15.75" customHeight="1">
      <c r="X485" s="329"/>
    </row>
    <row r="486" spans="24:24" ht="15.75" customHeight="1">
      <c r="X486" s="329"/>
    </row>
    <row r="487" spans="24:24" ht="15.75" customHeight="1">
      <c r="X487" s="329"/>
    </row>
    <row r="488" spans="24:24" ht="15.75" customHeight="1">
      <c r="X488" s="329"/>
    </row>
    <row r="489" spans="24:24" ht="15.75" customHeight="1">
      <c r="X489" s="329"/>
    </row>
    <row r="490" spans="24:24" ht="15.75" customHeight="1">
      <c r="X490" s="329"/>
    </row>
    <row r="491" spans="24:24" ht="15.75" customHeight="1">
      <c r="X491" s="329"/>
    </row>
    <row r="492" spans="24:24" ht="15.75" customHeight="1">
      <c r="X492" s="329"/>
    </row>
    <row r="493" spans="24:24" ht="15.75" customHeight="1">
      <c r="X493" s="329"/>
    </row>
    <row r="494" spans="24:24" ht="15.75" customHeight="1">
      <c r="X494" s="329"/>
    </row>
    <row r="495" spans="24:24" ht="15.75" customHeight="1">
      <c r="X495" s="329"/>
    </row>
    <row r="496" spans="24:24" ht="15.75" customHeight="1">
      <c r="X496" s="329"/>
    </row>
    <row r="497" spans="24:24" ht="15.75" customHeight="1">
      <c r="X497" s="329"/>
    </row>
    <row r="498" spans="24:24" ht="15.75" customHeight="1">
      <c r="X498" s="329"/>
    </row>
    <row r="499" spans="24:24" ht="15.75" customHeight="1">
      <c r="X499" s="329"/>
    </row>
    <row r="500" spans="24:24" ht="15.75" customHeight="1">
      <c r="X500" s="329"/>
    </row>
    <row r="501" spans="24:24" ht="15.75" customHeight="1">
      <c r="X501" s="329"/>
    </row>
    <row r="502" spans="24:24" ht="15.75" customHeight="1">
      <c r="X502" s="329"/>
    </row>
    <row r="503" spans="24:24" ht="15.75" customHeight="1">
      <c r="X503" s="329"/>
    </row>
    <row r="504" spans="24:24" ht="15.75" customHeight="1">
      <c r="X504" s="329"/>
    </row>
    <row r="505" spans="24:24" ht="15.75" customHeight="1">
      <c r="X505" s="329"/>
    </row>
    <row r="506" spans="24:24" ht="15.75" customHeight="1">
      <c r="X506" s="329"/>
    </row>
    <row r="507" spans="24:24" ht="15.75" customHeight="1">
      <c r="X507" s="329"/>
    </row>
    <row r="508" spans="24:24" ht="15.75" customHeight="1">
      <c r="X508" s="329"/>
    </row>
    <row r="509" spans="24:24" ht="15.75" customHeight="1">
      <c r="X509" s="329"/>
    </row>
    <row r="510" spans="24:24" ht="15.75" customHeight="1">
      <c r="X510" s="329"/>
    </row>
    <row r="511" spans="24:24" ht="15.75" customHeight="1">
      <c r="X511" s="329"/>
    </row>
    <row r="512" spans="24:24" ht="15.75" customHeight="1">
      <c r="X512" s="329"/>
    </row>
    <row r="513" spans="24:24" ht="15.75" customHeight="1">
      <c r="X513" s="329"/>
    </row>
    <row r="514" spans="24:24" ht="15.75" customHeight="1">
      <c r="X514" s="329"/>
    </row>
    <row r="515" spans="24:24" ht="15.75" customHeight="1">
      <c r="X515" s="329"/>
    </row>
    <row r="516" spans="24:24" ht="15.75" customHeight="1">
      <c r="X516" s="329"/>
    </row>
    <row r="517" spans="24:24" ht="15.75" customHeight="1">
      <c r="X517" s="329"/>
    </row>
    <row r="518" spans="24:24" ht="15.75" customHeight="1">
      <c r="X518" s="329"/>
    </row>
    <row r="519" spans="24:24" ht="15.75" customHeight="1">
      <c r="X519" s="329"/>
    </row>
    <row r="520" spans="24:24" ht="15.75" customHeight="1">
      <c r="X520" s="329"/>
    </row>
    <row r="521" spans="24:24" ht="15.75" customHeight="1">
      <c r="X521" s="329"/>
    </row>
    <row r="522" spans="24:24" ht="15.75" customHeight="1">
      <c r="X522" s="329"/>
    </row>
    <row r="523" spans="24:24" ht="15.75" customHeight="1">
      <c r="X523" s="329"/>
    </row>
    <row r="524" spans="24:24" ht="15.75" customHeight="1">
      <c r="X524" s="329"/>
    </row>
    <row r="525" spans="24:24" ht="15.75" customHeight="1">
      <c r="X525" s="329"/>
    </row>
    <row r="526" spans="24:24" ht="15.75" customHeight="1">
      <c r="X526" s="329"/>
    </row>
    <row r="527" spans="24:24" ht="15.75" customHeight="1">
      <c r="X527" s="329"/>
    </row>
    <row r="528" spans="24:24" ht="15.75" customHeight="1">
      <c r="X528" s="329"/>
    </row>
    <row r="529" spans="24:24" ht="15.75" customHeight="1">
      <c r="X529" s="329"/>
    </row>
    <row r="530" spans="24:24" ht="15.75" customHeight="1">
      <c r="X530" s="329"/>
    </row>
    <row r="531" spans="24:24" ht="15.75" customHeight="1">
      <c r="X531" s="329"/>
    </row>
    <row r="532" spans="24:24" ht="15.75" customHeight="1">
      <c r="X532" s="329"/>
    </row>
    <row r="533" spans="24:24" ht="15.75" customHeight="1">
      <c r="X533" s="329"/>
    </row>
    <row r="534" spans="24:24" ht="15.75" customHeight="1">
      <c r="X534" s="329"/>
    </row>
    <row r="535" spans="24:24" ht="15.75" customHeight="1">
      <c r="X535" s="329"/>
    </row>
    <row r="536" spans="24:24" ht="15.75" customHeight="1">
      <c r="X536" s="329"/>
    </row>
    <row r="537" spans="24:24" ht="15.75" customHeight="1">
      <c r="X537" s="329"/>
    </row>
    <row r="538" spans="24:24" ht="15.75" customHeight="1">
      <c r="X538" s="329"/>
    </row>
    <row r="539" spans="24:24" ht="15.75" customHeight="1">
      <c r="X539" s="329"/>
    </row>
    <row r="540" spans="24:24" ht="15.75" customHeight="1">
      <c r="X540" s="329"/>
    </row>
    <row r="541" spans="24:24" ht="15.75" customHeight="1">
      <c r="X541" s="329"/>
    </row>
    <row r="542" spans="24:24" ht="15.75" customHeight="1">
      <c r="X542" s="329"/>
    </row>
    <row r="543" spans="24:24" ht="15.75" customHeight="1">
      <c r="X543" s="329"/>
    </row>
    <row r="544" spans="24:24" ht="15.75" customHeight="1">
      <c r="X544" s="329"/>
    </row>
    <row r="545" spans="24:24" ht="15.75" customHeight="1">
      <c r="X545" s="329"/>
    </row>
    <row r="546" spans="24:24" ht="15.75" customHeight="1">
      <c r="X546" s="329"/>
    </row>
    <row r="547" spans="24:24" ht="15.75" customHeight="1">
      <c r="X547" s="329"/>
    </row>
    <row r="548" spans="24:24" ht="15.75" customHeight="1">
      <c r="X548" s="329"/>
    </row>
    <row r="549" spans="24:24" ht="15.75" customHeight="1">
      <c r="X549" s="329"/>
    </row>
    <row r="550" spans="24:24" ht="15.75" customHeight="1">
      <c r="X550" s="329"/>
    </row>
    <row r="551" spans="24:24" ht="15.75" customHeight="1">
      <c r="X551" s="329"/>
    </row>
    <row r="552" spans="24:24" ht="15.75" customHeight="1">
      <c r="X552" s="329"/>
    </row>
    <row r="553" spans="24:24" ht="15.75" customHeight="1">
      <c r="X553" s="329"/>
    </row>
    <row r="554" spans="24:24" ht="15.75" customHeight="1">
      <c r="X554" s="329"/>
    </row>
    <row r="555" spans="24:24" ht="15.75" customHeight="1">
      <c r="X555" s="329"/>
    </row>
    <row r="556" spans="24:24" ht="15.75" customHeight="1">
      <c r="X556" s="329"/>
    </row>
    <row r="557" spans="24:24" ht="15.75" customHeight="1">
      <c r="X557" s="329"/>
    </row>
    <row r="558" spans="24:24" ht="15.75" customHeight="1">
      <c r="X558" s="329"/>
    </row>
    <row r="559" spans="24:24" ht="15.75" customHeight="1">
      <c r="X559" s="329"/>
    </row>
    <row r="560" spans="24:24" ht="15.75" customHeight="1">
      <c r="X560" s="329"/>
    </row>
    <row r="561" spans="24:24" ht="15.75" customHeight="1">
      <c r="X561" s="329"/>
    </row>
    <row r="562" spans="24:24" ht="15.75" customHeight="1">
      <c r="X562" s="329"/>
    </row>
    <row r="563" spans="24:24" ht="15.75" customHeight="1">
      <c r="X563" s="329"/>
    </row>
    <row r="564" spans="24:24" ht="15.75" customHeight="1">
      <c r="X564" s="329"/>
    </row>
    <row r="565" spans="24:24" ht="15.75" customHeight="1">
      <c r="X565" s="329"/>
    </row>
    <row r="566" spans="24:24" ht="15.75" customHeight="1">
      <c r="X566" s="329"/>
    </row>
    <row r="567" spans="24:24" ht="15.75" customHeight="1">
      <c r="X567" s="329"/>
    </row>
    <row r="568" spans="24:24" ht="15.75" customHeight="1">
      <c r="X568" s="329"/>
    </row>
    <row r="569" spans="24:24" ht="15.75" customHeight="1">
      <c r="X569" s="329"/>
    </row>
    <row r="570" spans="24:24" ht="15.75" customHeight="1">
      <c r="X570" s="329"/>
    </row>
    <row r="571" spans="24:24" ht="15.75" customHeight="1">
      <c r="X571" s="329"/>
    </row>
    <row r="572" spans="24:24" ht="15.75" customHeight="1">
      <c r="X572" s="329"/>
    </row>
    <row r="573" spans="24:24" ht="15.75" customHeight="1">
      <c r="X573" s="329"/>
    </row>
    <row r="574" spans="24:24" ht="15.75" customHeight="1">
      <c r="X574" s="329"/>
    </row>
    <row r="575" spans="24:24" ht="15.75" customHeight="1">
      <c r="X575" s="329"/>
    </row>
    <row r="576" spans="24:24" ht="15.75" customHeight="1">
      <c r="X576" s="329"/>
    </row>
    <row r="577" spans="24:24" ht="15.75" customHeight="1">
      <c r="X577" s="329"/>
    </row>
    <row r="578" spans="24:24" ht="15.75" customHeight="1">
      <c r="X578" s="329"/>
    </row>
    <row r="579" spans="24:24" ht="15.75" customHeight="1">
      <c r="X579" s="329"/>
    </row>
    <row r="580" spans="24:24" ht="15.75" customHeight="1">
      <c r="X580" s="329"/>
    </row>
    <row r="581" spans="24:24" ht="15.75" customHeight="1">
      <c r="X581" s="329"/>
    </row>
    <row r="582" spans="24:24" ht="15.75" customHeight="1">
      <c r="X582" s="329"/>
    </row>
    <row r="583" spans="24:24" ht="15.75" customHeight="1">
      <c r="X583" s="329"/>
    </row>
    <row r="584" spans="24:24" ht="15.75" customHeight="1">
      <c r="X584" s="329"/>
    </row>
    <row r="585" spans="24:24" ht="15.75" customHeight="1">
      <c r="X585" s="329"/>
    </row>
    <row r="586" spans="24:24" ht="15.75" customHeight="1">
      <c r="X586" s="329"/>
    </row>
    <row r="587" spans="24:24" ht="15.75" customHeight="1">
      <c r="X587" s="329"/>
    </row>
    <row r="588" spans="24:24" ht="15.75" customHeight="1">
      <c r="X588" s="329"/>
    </row>
    <row r="589" spans="24:24" ht="15.75" customHeight="1">
      <c r="X589" s="329"/>
    </row>
    <row r="590" spans="24:24" ht="15.75" customHeight="1">
      <c r="X590" s="329"/>
    </row>
    <row r="591" spans="24:24" ht="15.75" customHeight="1">
      <c r="X591" s="329"/>
    </row>
    <row r="592" spans="24:24" ht="15.75" customHeight="1">
      <c r="X592" s="329"/>
    </row>
    <row r="593" spans="24:24" ht="15.75" customHeight="1">
      <c r="X593" s="329"/>
    </row>
    <row r="594" spans="24:24" ht="15.75" customHeight="1">
      <c r="X594" s="329"/>
    </row>
    <row r="595" spans="24:24" ht="15.75" customHeight="1">
      <c r="X595" s="329"/>
    </row>
    <row r="596" spans="24:24" ht="15.75" customHeight="1">
      <c r="X596" s="329"/>
    </row>
    <row r="597" spans="24:24" ht="15.75" customHeight="1">
      <c r="X597" s="329"/>
    </row>
    <row r="598" spans="24:24" ht="15.75" customHeight="1">
      <c r="X598" s="329"/>
    </row>
    <row r="599" spans="24:24" ht="15.75" customHeight="1">
      <c r="X599" s="329"/>
    </row>
    <row r="600" spans="24:24" ht="15.75" customHeight="1">
      <c r="X600" s="329"/>
    </row>
    <row r="601" spans="24:24" ht="15.75" customHeight="1">
      <c r="X601" s="329"/>
    </row>
    <row r="602" spans="24:24" ht="15.75" customHeight="1">
      <c r="X602" s="329"/>
    </row>
    <row r="603" spans="24:24" ht="15.75" customHeight="1">
      <c r="X603" s="329"/>
    </row>
    <row r="604" spans="24:24" ht="15.75" customHeight="1">
      <c r="X604" s="329"/>
    </row>
    <row r="605" spans="24:24" ht="15.75" customHeight="1">
      <c r="X605" s="329"/>
    </row>
    <row r="606" spans="24:24" ht="15.75" customHeight="1">
      <c r="X606" s="329"/>
    </row>
    <row r="607" spans="24:24" ht="15.75" customHeight="1">
      <c r="X607" s="329"/>
    </row>
    <row r="608" spans="24:24" ht="15.75" customHeight="1">
      <c r="X608" s="329"/>
    </row>
    <row r="609" spans="24:24" ht="15.75" customHeight="1">
      <c r="X609" s="329"/>
    </row>
    <row r="610" spans="24:24" ht="15.75" customHeight="1">
      <c r="X610" s="329"/>
    </row>
    <row r="611" spans="24:24" ht="15.75" customHeight="1">
      <c r="X611" s="329"/>
    </row>
    <row r="612" spans="24:24" ht="15.75" customHeight="1">
      <c r="X612" s="329"/>
    </row>
    <row r="613" spans="24:24" ht="15.75" customHeight="1">
      <c r="X613" s="329"/>
    </row>
    <row r="614" spans="24:24" ht="15.75" customHeight="1">
      <c r="X614" s="329"/>
    </row>
    <row r="615" spans="24:24" ht="15.75" customHeight="1">
      <c r="X615" s="329"/>
    </row>
    <row r="616" spans="24:24" ht="15.75" customHeight="1">
      <c r="X616" s="329"/>
    </row>
    <row r="617" spans="24:24" ht="15.75" customHeight="1">
      <c r="X617" s="329"/>
    </row>
    <row r="618" spans="24:24" ht="15.75" customHeight="1">
      <c r="X618" s="329"/>
    </row>
    <row r="619" spans="24:24" ht="15.75" customHeight="1">
      <c r="X619" s="329"/>
    </row>
    <row r="620" spans="24:24" ht="15.75" customHeight="1">
      <c r="X620" s="329"/>
    </row>
    <row r="621" spans="24:24" ht="15.75" customHeight="1">
      <c r="X621" s="329"/>
    </row>
    <row r="622" spans="24:24" ht="15.75" customHeight="1">
      <c r="X622" s="329"/>
    </row>
    <row r="623" spans="24:24" ht="15.75" customHeight="1">
      <c r="X623" s="329"/>
    </row>
    <row r="624" spans="24:24" ht="15.75" customHeight="1">
      <c r="X624" s="329"/>
    </row>
    <row r="625" spans="24:24" ht="15.75" customHeight="1">
      <c r="X625" s="329"/>
    </row>
    <row r="626" spans="24:24" ht="15.75" customHeight="1">
      <c r="X626" s="329"/>
    </row>
    <row r="627" spans="24:24" ht="15.75" customHeight="1">
      <c r="X627" s="329"/>
    </row>
    <row r="628" spans="24:24" ht="15.75" customHeight="1">
      <c r="X628" s="329"/>
    </row>
    <row r="629" spans="24:24" ht="15.75" customHeight="1">
      <c r="X629" s="329"/>
    </row>
    <row r="630" spans="24:24" ht="15.75" customHeight="1">
      <c r="X630" s="329"/>
    </row>
    <row r="631" spans="24:24" ht="15.75" customHeight="1">
      <c r="X631" s="329"/>
    </row>
    <row r="632" spans="24:24" ht="15.75" customHeight="1">
      <c r="X632" s="329"/>
    </row>
    <row r="633" spans="24:24" ht="15.75" customHeight="1">
      <c r="X633" s="329"/>
    </row>
    <row r="634" spans="24:24" ht="15.75" customHeight="1">
      <c r="X634" s="329"/>
    </row>
    <row r="635" spans="24:24" ht="15.75" customHeight="1">
      <c r="X635" s="329"/>
    </row>
    <row r="636" spans="24:24" ht="15.75" customHeight="1">
      <c r="X636" s="329"/>
    </row>
    <row r="637" spans="24:24" ht="15.75" customHeight="1">
      <c r="X637" s="329"/>
    </row>
    <row r="638" spans="24:24" ht="15.75" customHeight="1">
      <c r="X638" s="329"/>
    </row>
    <row r="639" spans="24:24" ht="15.75" customHeight="1">
      <c r="X639" s="329"/>
    </row>
    <row r="640" spans="24:24" ht="15.75" customHeight="1">
      <c r="X640" s="329"/>
    </row>
    <row r="641" spans="24:24" ht="15.75" customHeight="1">
      <c r="X641" s="329"/>
    </row>
    <row r="642" spans="24:24" ht="15.75" customHeight="1">
      <c r="X642" s="329"/>
    </row>
    <row r="643" spans="24:24" ht="15.75" customHeight="1">
      <c r="X643" s="329"/>
    </row>
    <row r="644" spans="24:24" ht="15.75" customHeight="1">
      <c r="X644" s="329"/>
    </row>
    <row r="645" spans="24:24" ht="15.75" customHeight="1">
      <c r="X645" s="329"/>
    </row>
    <row r="646" spans="24:24" ht="15.75" customHeight="1">
      <c r="X646" s="329"/>
    </row>
    <row r="647" spans="24:24" ht="15.75" customHeight="1">
      <c r="X647" s="329"/>
    </row>
    <row r="648" spans="24:24" ht="15.75" customHeight="1">
      <c r="X648" s="329"/>
    </row>
    <row r="649" spans="24:24" ht="15.75" customHeight="1">
      <c r="X649" s="329"/>
    </row>
    <row r="650" spans="24:24" ht="15.75" customHeight="1">
      <c r="X650" s="329"/>
    </row>
    <row r="651" spans="24:24" ht="15.75" customHeight="1">
      <c r="X651" s="329"/>
    </row>
    <row r="652" spans="24:24" ht="15.75" customHeight="1">
      <c r="X652" s="329"/>
    </row>
    <row r="653" spans="24:24" ht="15.75" customHeight="1">
      <c r="X653" s="329"/>
    </row>
    <row r="654" spans="24:24" ht="15.75" customHeight="1">
      <c r="X654" s="329"/>
    </row>
    <row r="655" spans="24:24" ht="15.75" customHeight="1">
      <c r="X655" s="329"/>
    </row>
    <row r="656" spans="24:24" ht="15.75" customHeight="1">
      <c r="X656" s="329"/>
    </row>
    <row r="657" spans="24:24" ht="15.75" customHeight="1">
      <c r="X657" s="329"/>
    </row>
    <row r="658" spans="24:24" ht="15.75" customHeight="1">
      <c r="X658" s="329"/>
    </row>
    <row r="659" spans="24:24" ht="15.75" customHeight="1">
      <c r="X659" s="329"/>
    </row>
    <row r="660" spans="24:24" ht="15.75" customHeight="1">
      <c r="X660" s="329"/>
    </row>
    <row r="661" spans="24:24" ht="15.75" customHeight="1">
      <c r="X661" s="329"/>
    </row>
    <row r="662" spans="24:24" ht="15.75" customHeight="1">
      <c r="X662" s="329"/>
    </row>
    <row r="663" spans="24:24" ht="15.75" customHeight="1">
      <c r="X663" s="329"/>
    </row>
    <row r="664" spans="24:24" ht="15.75" customHeight="1">
      <c r="X664" s="329"/>
    </row>
    <row r="665" spans="24:24" ht="15.75" customHeight="1">
      <c r="X665" s="329"/>
    </row>
    <row r="666" spans="24:24" ht="15.75" customHeight="1">
      <c r="X666" s="329"/>
    </row>
    <row r="667" spans="24:24" ht="15.75" customHeight="1">
      <c r="X667" s="329"/>
    </row>
    <row r="668" spans="24:24" ht="15.75" customHeight="1">
      <c r="X668" s="329"/>
    </row>
    <row r="669" spans="24:24" ht="15.75" customHeight="1">
      <c r="X669" s="329"/>
    </row>
    <row r="670" spans="24:24" ht="15.75" customHeight="1">
      <c r="X670" s="329"/>
    </row>
    <row r="671" spans="24:24" ht="15.75" customHeight="1">
      <c r="X671" s="329"/>
    </row>
    <row r="672" spans="24:24" ht="15.75" customHeight="1">
      <c r="X672" s="329"/>
    </row>
    <row r="673" spans="24:24" ht="15.75" customHeight="1">
      <c r="X673" s="329"/>
    </row>
    <row r="674" spans="24:24" ht="15.75" customHeight="1">
      <c r="X674" s="329"/>
    </row>
    <row r="675" spans="24:24" ht="15.75" customHeight="1">
      <c r="X675" s="329"/>
    </row>
    <row r="676" spans="24:24" ht="15.75" customHeight="1">
      <c r="X676" s="329"/>
    </row>
    <row r="677" spans="24:24" ht="15.75" customHeight="1">
      <c r="X677" s="329"/>
    </row>
    <row r="678" spans="24:24" ht="15.75" customHeight="1">
      <c r="X678" s="329"/>
    </row>
    <row r="679" spans="24:24" ht="15.75" customHeight="1">
      <c r="X679" s="329"/>
    </row>
    <row r="680" spans="24:24" ht="15.75" customHeight="1">
      <c r="X680" s="329"/>
    </row>
    <row r="681" spans="24:24" ht="15.75" customHeight="1">
      <c r="X681" s="329"/>
    </row>
    <row r="682" spans="24:24" ht="15.75" customHeight="1">
      <c r="X682" s="329"/>
    </row>
    <row r="683" spans="24:24" ht="15.75" customHeight="1">
      <c r="X683" s="329"/>
    </row>
    <row r="684" spans="24:24" ht="15.75" customHeight="1">
      <c r="X684" s="329"/>
    </row>
    <row r="685" spans="24:24" ht="15.75" customHeight="1">
      <c r="X685" s="329"/>
    </row>
    <row r="686" spans="24:24" ht="15.75" customHeight="1">
      <c r="X686" s="329"/>
    </row>
    <row r="687" spans="24:24" ht="15.75" customHeight="1">
      <c r="X687" s="329"/>
    </row>
    <row r="688" spans="24:24" ht="15.75" customHeight="1">
      <c r="X688" s="329"/>
    </row>
    <row r="689" spans="24:24" ht="15.75" customHeight="1">
      <c r="X689" s="329"/>
    </row>
    <row r="690" spans="24:24" ht="15.75" customHeight="1">
      <c r="X690" s="329"/>
    </row>
    <row r="691" spans="24:24" ht="15.75" customHeight="1">
      <c r="X691" s="329"/>
    </row>
    <row r="692" spans="24:24" ht="15.75" customHeight="1">
      <c r="X692" s="329"/>
    </row>
    <row r="693" spans="24:24" ht="15.75" customHeight="1">
      <c r="X693" s="329"/>
    </row>
    <row r="694" spans="24:24" ht="15.75" customHeight="1">
      <c r="X694" s="329"/>
    </row>
    <row r="695" spans="24:24" ht="15.75" customHeight="1">
      <c r="X695" s="329"/>
    </row>
    <row r="696" spans="24:24" ht="15.75" customHeight="1">
      <c r="X696" s="329"/>
    </row>
    <row r="697" spans="24:24" ht="15.75" customHeight="1">
      <c r="X697" s="329"/>
    </row>
    <row r="698" spans="24:24" ht="15.75" customHeight="1">
      <c r="X698" s="329"/>
    </row>
    <row r="699" spans="24:24" ht="15.75" customHeight="1">
      <c r="X699" s="329"/>
    </row>
    <row r="700" spans="24:24" ht="15.75" customHeight="1">
      <c r="X700" s="329"/>
    </row>
    <row r="701" spans="24:24" ht="15.75" customHeight="1">
      <c r="X701" s="329"/>
    </row>
    <row r="702" spans="24:24" ht="15.75" customHeight="1">
      <c r="X702" s="329"/>
    </row>
    <row r="703" spans="24:24" ht="15.75" customHeight="1">
      <c r="X703" s="329"/>
    </row>
    <row r="704" spans="24:24" ht="15.75" customHeight="1">
      <c r="X704" s="329"/>
    </row>
    <row r="705" spans="24:24" ht="15.75" customHeight="1">
      <c r="X705" s="329"/>
    </row>
    <row r="706" spans="24:24" ht="15.75" customHeight="1">
      <c r="X706" s="329"/>
    </row>
    <row r="707" spans="24:24" ht="15.75" customHeight="1">
      <c r="X707" s="329"/>
    </row>
    <row r="708" spans="24:24" ht="15.75" customHeight="1">
      <c r="X708" s="329"/>
    </row>
    <row r="709" spans="24:24" ht="15.75" customHeight="1">
      <c r="X709" s="329"/>
    </row>
    <row r="710" spans="24:24" ht="15.75" customHeight="1">
      <c r="X710" s="329"/>
    </row>
    <row r="711" spans="24:24" ht="15.75" customHeight="1">
      <c r="X711" s="329"/>
    </row>
    <row r="712" spans="24:24" ht="15.75" customHeight="1">
      <c r="X712" s="329"/>
    </row>
    <row r="713" spans="24:24" ht="15.75" customHeight="1">
      <c r="X713" s="329"/>
    </row>
    <row r="714" spans="24:24" ht="15.75" customHeight="1">
      <c r="X714" s="329"/>
    </row>
    <row r="715" spans="24:24" ht="15.75" customHeight="1">
      <c r="X715" s="329"/>
    </row>
    <row r="716" spans="24:24" ht="15.75" customHeight="1">
      <c r="X716" s="329"/>
    </row>
    <row r="717" spans="24:24" ht="15.75" customHeight="1">
      <c r="X717" s="329"/>
    </row>
    <row r="718" spans="24:24" ht="15.75" customHeight="1">
      <c r="X718" s="329"/>
    </row>
    <row r="719" spans="24:24" ht="15.75" customHeight="1">
      <c r="X719" s="329"/>
    </row>
    <row r="720" spans="24:24" ht="15.75" customHeight="1">
      <c r="X720" s="329"/>
    </row>
    <row r="721" spans="24:24" ht="15.75" customHeight="1">
      <c r="X721" s="329"/>
    </row>
    <row r="722" spans="24:24" ht="15.75" customHeight="1">
      <c r="X722" s="329"/>
    </row>
    <row r="723" spans="24:24" ht="15.75" customHeight="1">
      <c r="X723" s="329"/>
    </row>
    <row r="724" spans="24:24" ht="15.75" customHeight="1">
      <c r="X724" s="329"/>
    </row>
    <row r="725" spans="24:24" ht="15.75" customHeight="1">
      <c r="X725" s="329"/>
    </row>
    <row r="726" spans="24:24" ht="15.75" customHeight="1">
      <c r="X726" s="329"/>
    </row>
    <row r="727" spans="24:24" ht="15.75" customHeight="1">
      <c r="X727" s="329"/>
    </row>
    <row r="728" spans="24:24" ht="15.75" customHeight="1">
      <c r="X728" s="329"/>
    </row>
    <row r="729" spans="24:24" ht="15.75" customHeight="1">
      <c r="X729" s="329"/>
    </row>
    <row r="730" spans="24:24" ht="15.75" customHeight="1">
      <c r="X730" s="329"/>
    </row>
    <row r="731" spans="24:24" ht="15.75" customHeight="1">
      <c r="X731" s="329"/>
    </row>
    <row r="732" spans="24:24" ht="15.75" customHeight="1">
      <c r="X732" s="329"/>
    </row>
    <row r="733" spans="24:24" ht="15.75" customHeight="1">
      <c r="X733" s="329"/>
    </row>
    <row r="734" spans="24:24" ht="15.75" customHeight="1">
      <c r="X734" s="329"/>
    </row>
    <row r="735" spans="24:24" ht="15.75" customHeight="1">
      <c r="X735" s="329"/>
    </row>
    <row r="736" spans="24:24" ht="15.75" customHeight="1">
      <c r="X736" s="329"/>
    </row>
    <row r="737" spans="24:24" ht="15.75" customHeight="1">
      <c r="X737" s="329"/>
    </row>
    <row r="738" spans="24:24" ht="15.75" customHeight="1">
      <c r="X738" s="329"/>
    </row>
    <row r="739" spans="24:24" ht="15.75" customHeight="1">
      <c r="X739" s="329"/>
    </row>
    <row r="740" spans="24:24" ht="15.75" customHeight="1">
      <c r="X740" s="329"/>
    </row>
    <row r="741" spans="24:24" ht="15.75" customHeight="1">
      <c r="X741" s="329"/>
    </row>
    <row r="742" spans="24:24" ht="15.75" customHeight="1">
      <c r="X742" s="329"/>
    </row>
    <row r="743" spans="24:24" ht="15.75" customHeight="1">
      <c r="X743" s="329"/>
    </row>
    <row r="744" spans="24:24" ht="15.75" customHeight="1">
      <c r="X744" s="329"/>
    </row>
    <row r="745" spans="24:24" ht="15.75" customHeight="1">
      <c r="X745" s="329"/>
    </row>
    <row r="746" spans="24:24" ht="15.75" customHeight="1">
      <c r="X746" s="329"/>
    </row>
    <row r="747" spans="24:24" ht="15.75" customHeight="1">
      <c r="X747" s="329"/>
    </row>
    <row r="748" spans="24:24" ht="15.75" customHeight="1">
      <c r="X748" s="329"/>
    </row>
    <row r="749" spans="24:24" ht="15.75" customHeight="1">
      <c r="X749" s="329"/>
    </row>
    <row r="750" spans="24:24" ht="15.75" customHeight="1">
      <c r="X750" s="329"/>
    </row>
    <row r="751" spans="24:24" ht="15.75" customHeight="1">
      <c r="X751" s="329"/>
    </row>
    <row r="752" spans="24:24" ht="15.75" customHeight="1">
      <c r="X752" s="329"/>
    </row>
    <row r="753" spans="24:24" ht="15.75" customHeight="1">
      <c r="X753" s="329"/>
    </row>
    <row r="754" spans="24:24" ht="15.75" customHeight="1">
      <c r="X754" s="329"/>
    </row>
    <row r="755" spans="24:24" ht="15.75" customHeight="1">
      <c r="X755" s="329"/>
    </row>
    <row r="756" spans="24:24" ht="15.75" customHeight="1">
      <c r="X756" s="329"/>
    </row>
    <row r="757" spans="24:24" ht="15.75" customHeight="1">
      <c r="X757" s="329"/>
    </row>
    <row r="758" spans="24:24" ht="15.75" customHeight="1">
      <c r="X758" s="329"/>
    </row>
    <row r="759" spans="24:24" ht="15.75" customHeight="1">
      <c r="X759" s="329"/>
    </row>
    <row r="760" spans="24:24" ht="15.75" customHeight="1">
      <c r="X760" s="329"/>
    </row>
    <row r="761" spans="24:24" ht="15.75" customHeight="1">
      <c r="X761" s="329"/>
    </row>
    <row r="762" spans="24:24" ht="15.75" customHeight="1">
      <c r="X762" s="329"/>
    </row>
    <row r="763" spans="24:24" ht="15.75" customHeight="1">
      <c r="X763" s="329"/>
    </row>
    <row r="764" spans="24:24" ht="15.75" customHeight="1">
      <c r="X764" s="329"/>
    </row>
    <row r="765" spans="24:24" ht="15.75" customHeight="1">
      <c r="X765" s="329"/>
    </row>
    <row r="766" spans="24:24" ht="15.75" customHeight="1">
      <c r="X766" s="329"/>
    </row>
    <row r="767" spans="24:24" ht="15.75" customHeight="1">
      <c r="X767" s="329"/>
    </row>
    <row r="768" spans="24:24" ht="15.75" customHeight="1">
      <c r="X768" s="329"/>
    </row>
    <row r="769" spans="24:24" ht="15.75" customHeight="1">
      <c r="X769" s="329"/>
    </row>
    <row r="770" spans="24:24" ht="15.75" customHeight="1">
      <c r="X770" s="329"/>
    </row>
    <row r="771" spans="24:24" ht="15.75" customHeight="1">
      <c r="X771" s="329"/>
    </row>
    <row r="772" spans="24:24" ht="15.75" customHeight="1">
      <c r="X772" s="329"/>
    </row>
    <row r="773" spans="24:24" ht="15.75" customHeight="1">
      <c r="X773" s="329"/>
    </row>
    <row r="774" spans="24:24" ht="15.75" customHeight="1">
      <c r="X774" s="329"/>
    </row>
    <row r="775" spans="24:24" ht="15.75" customHeight="1">
      <c r="X775" s="329"/>
    </row>
    <row r="776" spans="24:24" ht="15.75" customHeight="1">
      <c r="X776" s="329"/>
    </row>
    <row r="777" spans="24:24" ht="15.75" customHeight="1">
      <c r="X777" s="329"/>
    </row>
    <row r="778" spans="24:24" ht="15.75" customHeight="1">
      <c r="X778" s="329"/>
    </row>
    <row r="779" spans="24:24" ht="15.75" customHeight="1">
      <c r="X779" s="329"/>
    </row>
    <row r="780" spans="24:24" ht="15.75" customHeight="1">
      <c r="X780" s="329"/>
    </row>
    <row r="781" spans="24:24" ht="15.75" customHeight="1">
      <c r="X781" s="329"/>
    </row>
    <row r="782" spans="24:24" ht="15.75" customHeight="1">
      <c r="X782" s="329"/>
    </row>
    <row r="783" spans="24:24" ht="15.75" customHeight="1">
      <c r="X783" s="329"/>
    </row>
    <row r="784" spans="24:24" ht="15.75" customHeight="1">
      <c r="X784" s="329"/>
    </row>
    <row r="785" spans="24:24" ht="15.75" customHeight="1">
      <c r="X785" s="329"/>
    </row>
    <row r="786" spans="24:24" ht="15.75" customHeight="1">
      <c r="X786" s="329"/>
    </row>
    <row r="787" spans="24:24" ht="15.75" customHeight="1">
      <c r="X787" s="329"/>
    </row>
    <row r="788" spans="24:24" ht="15.75" customHeight="1">
      <c r="X788" s="329"/>
    </row>
    <row r="789" spans="24:24" ht="15.75" customHeight="1">
      <c r="X789" s="329"/>
    </row>
    <row r="790" spans="24:24" ht="15.75" customHeight="1">
      <c r="X790" s="329"/>
    </row>
    <row r="791" spans="24:24" ht="15.75" customHeight="1">
      <c r="X791" s="329"/>
    </row>
    <row r="792" spans="24:24" ht="15.75" customHeight="1">
      <c r="X792" s="329"/>
    </row>
    <row r="793" spans="24:24" ht="15.75" customHeight="1">
      <c r="X793" s="329"/>
    </row>
    <row r="794" spans="24:24" ht="15.75" customHeight="1">
      <c r="X794" s="329"/>
    </row>
    <row r="795" spans="24:24" ht="15.75" customHeight="1">
      <c r="X795" s="329"/>
    </row>
    <row r="796" spans="24:24" ht="15.75" customHeight="1">
      <c r="X796" s="329"/>
    </row>
    <row r="797" spans="24:24" ht="15.75" customHeight="1">
      <c r="X797" s="329"/>
    </row>
    <row r="798" spans="24:24" ht="15.75" customHeight="1">
      <c r="X798" s="329"/>
    </row>
    <row r="799" spans="24:24" ht="15.75" customHeight="1">
      <c r="X799" s="329"/>
    </row>
    <row r="800" spans="24:24" ht="15.75" customHeight="1">
      <c r="X800" s="329"/>
    </row>
    <row r="801" spans="24:24" ht="15.75" customHeight="1">
      <c r="X801" s="329"/>
    </row>
    <row r="802" spans="24:24" ht="15.75" customHeight="1">
      <c r="X802" s="329"/>
    </row>
    <row r="803" spans="24:24" ht="15.75" customHeight="1">
      <c r="X803" s="329"/>
    </row>
    <row r="804" spans="24:24" ht="15.75" customHeight="1">
      <c r="X804" s="329"/>
    </row>
    <row r="805" spans="24:24" ht="15.75" customHeight="1">
      <c r="X805" s="329"/>
    </row>
    <row r="806" spans="24:24" ht="15.75" customHeight="1">
      <c r="X806" s="329"/>
    </row>
    <row r="807" spans="24:24" ht="15.75" customHeight="1">
      <c r="X807" s="329"/>
    </row>
    <row r="808" spans="24:24" ht="15.75" customHeight="1">
      <c r="X808" s="329"/>
    </row>
    <row r="809" spans="24:24" ht="15.75" customHeight="1">
      <c r="X809" s="329"/>
    </row>
    <row r="810" spans="24:24" ht="15.75" customHeight="1">
      <c r="X810" s="329"/>
    </row>
    <row r="811" spans="24:24" ht="15.75" customHeight="1">
      <c r="X811" s="329"/>
    </row>
    <row r="812" spans="24:24" ht="15.75" customHeight="1">
      <c r="X812" s="329"/>
    </row>
    <row r="813" spans="24:24" ht="15.75" customHeight="1">
      <c r="X813" s="329"/>
    </row>
    <row r="814" spans="24:24" ht="15.75" customHeight="1">
      <c r="X814" s="329"/>
    </row>
    <row r="815" spans="24:24" ht="15.75" customHeight="1">
      <c r="X815" s="329"/>
    </row>
    <row r="816" spans="24:24" ht="15.75" customHeight="1">
      <c r="X816" s="329"/>
    </row>
    <row r="817" spans="24:24" ht="15.75" customHeight="1">
      <c r="X817" s="329"/>
    </row>
    <row r="818" spans="24:24" ht="15.75" customHeight="1">
      <c r="X818" s="329"/>
    </row>
    <row r="819" spans="24:24" ht="15.75" customHeight="1">
      <c r="X819" s="329"/>
    </row>
    <row r="820" spans="24:24" ht="15.75" customHeight="1">
      <c r="X820" s="329"/>
    </row>
    <row r="821" spans="24:24" ht="15.75" customHeight="1">
      <c r="X821" s="329"/>
    </row>
    <row r="822" spans="24:24" ht="15.75" customHeight="1">
      <c r="X822" s="329"/>
    </row>
    <row r="823" spans="24:24" ht="15.75" customHeight="1">
      <c r="X823" s="329"/>
    </row>
    <row r="824" spans="24:24" ht="15.75" customHeight="1">
      <c r="X824" s="329"/>
    </row>
    <row r="825" spans="24:24" ht="15.75" customHeight="1">
      <c r="X825" s="329"/>
    </row>
    <row r="826" spans="24:24" ht="15.75" customHeight="1">
      <c r="X826" s="329"/>
    </row>
    <row r="827" spans="24:24" ht="15.75" customHeight="1">
      <c r="X827" s="329"/>
    </row>
    <row r="828" spans="24:24" ht="15.75" customHeight="1">
      <c r="X828" s="329"/>
    </row>
    <row r="829" spans="24:24" ht="15.75" customHeight="1">
      <c r="X829" s="329"/>
    </row>
    <row r="830" spans="24:24" ht="15.75" customHeight="1">
      <c r="X830" s="329"/>
    </row>
    <row r="831" spans="24:24" ht="15.75" customHeight="1">
      <c r="X831" s="329"/>
    </row>
    <row r="832" spans="24:24" ht="15.75" customHeight="1">
      <c r="X832" s="329"/>
    </row>
    <row r="833" spans="24:24" ht="15.75" customHeight="1">
      <c r="X833" s="329"/>
    </row>
    <row r="834" spans="24:24" ht="15.75" customHeight="1">
      <c r="X834" s="329"/>
    </row>
    <row r="835" spans="24:24" ht="15.75" customHeight="1">
      <c r="X835" s="329"/>
    </row>
    <row r="836" spans="24:24" ht="15.75" customHeight="1">
      <c r="X836" s="329"/>
    </row>
    <row r="837" spans="24:24" ht="15.75" customHeight="1">
      <c r="X837" s="329"/>
    </row>
    <row r="838" spans="24:24" ht="15.75" customHeight="1">
      <c r="X838" s="329"/>
    </row>
    <row r="839" spans="24:24" ht="15.75" customHeight="1">
      <c r="X839" s="329"/>
    </row>
    <row r="840" spans="24:24" ht="15.75" customHeight="1">
      <c r="X840" s="329"/>
    </row>
    <row r="841" spans="24:24" ht="15.75" customHeight="1">
      <c r="X841" s="329"/>
    </row>
    <row r="842" spans="24:24" ht="15.75" customHeight="1">
      <c r="X842" s="329"/>
    </row>
    <row r="843" spans="24:24" ht="15.75" customHeight="1">
      <c r="X843" s="329"/>
    </row>
    <row r="844" spans="24:24" ht="15.75" customHeight="1">
      <c r="X844" s="329"/>
    </row>
    <row r="845" spans="24:24" ht="15.75" customHeight="1">
      <c r="X845" s="329"/>
    </row>
    <row r="846" spans="24:24" ht="15.75" customHeight="1">
      <c r="X846" s="329"/>
    </row>
    <row r="847" spans="24:24" ht="15.75" customHeight="1">
      <c r="X847" s="329"/>
    </row>
    <row r="848" spans="24:24" ht="15.75" customHeight="1">
      <c r="X848" s="329"/>
    </row>
    <row r="849" spans="24:24" ht="15.75" customHeight="1">
      <c r="X849" s="329"/>
    </row>
    <row r="850" spans="24:24" ht="15.75" customHeight="1">
      <c r="X850" s="329"/>
    </row>
    <row r="851" spans="24:24" ht="15.75" customHeight="1">
      <c r="X851" s="329"/>
    </row>
    <row r="852" spans="24:24" ht="15.75" customHeight="1">
      <c r="X852" s="329"/>
    </row>
    <row r="853" spans="24:24" ht="15.75" customHeight="1">
      <c r="X853" s="329"/>
    </row>
    <row r="854" spans="24:24" ht="15.75" customHeight="1">
      <c r="X854" s="329"/>
    </row>
    <row r="855" spans="24:24" ht="15.75" customHeight="1">
      <c r="X855" s="329"/>
    </row>
    <row r="856" spans="24:24" ht="15.75" customHeight="1">
      <c r="X856" s="329"/>
    </row>
    <row r="857" spans="24:24" ht="15.75" customHeight="1">
      <c r="X857" s="329"/>
    </row>
    <row r="858" spans="24:24" ht="15.75" customHeight="1">
      <c r="X858" s="329"/>
    </row>
    <row r="859" spans="24:24" ht="15.75" customHeight="1">
      <c r="X859" s="329"/>
    </row>
    <row r="860" spans="24:24" ht="15.75" customHeight="1">
      <c r="X860" s="329"/>
    </row>
    <row r="861" spans="24:24" ht="15.75" customHeight="1">
      <c r="X861" s="329"/>
    </row>
    <row r="862" spans="24:24" ht="15.75" customHeight="1">
      <c r="X862" s="329"/>
    </row>
    <row r="863" spans="24:24" ht="15.75" customHeight="1">
      <c r="X863" s="329"/>
    </row>
    <row r="864" spans="24:24" ht="15.75" customHeight="1">
      <c r="X864" s="329"/>
    </row>
    <row r="865" spans="24:24" ht="15.75" customHeight="1">
      <c r="X865" s="329"/>
    </row>
    <row r="866" spans="24:24" ht="15.75" customHeight="1">
      <c r="X866" s="329"/>
    </row>
    <row r="867" spans="24:24" ht="15.75" customHeight="1">
      <c r="X867" s="329"/>
    </row>
    <row r="868" spans="24:24" ht="15.75" customHeight="1">
      <c r="X868" s="329"/>
    </row>
    <row r="869" spans="24:24" ht="15.75" customHeight="1">
      <c r="X869" s="329"/>
    </row>
    <row r="870" spans="24:24" ht="15.75" customHeight="1">
      <c r="X870" s="329"/>
    </row>
    <row r="871" spans="24:24" ht="15.75" customHeight="1">
      <c r="X871" s="329"/>
    </row>
    <row r="872" spans="24:24" ht="15.75" customHeight="1">
      <c r="X872" s="329"/>
    </row>
    <row r="873" spans="24:24" ht="15.75" customHeight="1">
      <c r="X873" s="329"/>
    </row>
    <row r="874" spans="24:24" ht="15.75" customHeight="1">
      <c r="X874" s="329"/>
    </row>
    <row r="875" spans="24:24" ht="15.75" customHeight="1">
      <c r="X875" s="329"/>
    </row>
    <row r="876" spans="24:24" ht="15.75" customHeight="1">
      <c r="X876" s="329"/>
    </row>
    <row r="877" spans="24:24" ht="15.75" customHeight="1">
      <c r="X877" s="329"/>
    </row>
    <row r="878" spans="24:24" ht="15.75" customHeight="1">
      <c r="X878" s="329"/>
    </row>
    <row r="879" spans="24:24" ht="15.75" customHeight="1">
      <c r="X879" s="329"/>
    </row>
    <row r="880" spans="24:24" ht="15.75" customHeight="1">
      <c r="X880" s="329"/>
    </row>
    <row r="881" spans="24:24" ht="15.75" customHeight="1">
      <c r="X881" s="329"/>
    </row>
    <row r="882" spans="24:24" ht="15.75" customHeight="1">
      <c r="X882" s="329"/>
    </row>
    <row r="883" spans="24:24" ht="15.75" customHeight="1">
      <c r="X883" s="329"/>
    </row>
    <row r="884" spans="24:24" ht="15.75" customHeight="1">
      <c r="X884" s="329"/>
    </row>
    <row r="885" spans="24:24" ht="15.75" customHeight="1">
      <c r="X885" s="329"/>
    </row>
    <row r="886" spans="24:24" ht="15.75" customHeight="1">
      <c r="X886" s="329"/>
    </row>
    <row r="887" spans="24:24" ht="15.75" customHeight="1">
      <c r="X887" s="329"/>
    </row>
    <row r="888" spans="24:24" ht="15.75" customHeight="1">
      <c r="X888" s="329"/>
    </row>
    <row r="889" spans="24:24" ht="15.75" customHeight="1">
      <c r="X889" s="329"/>
    </row>
    <row r="890" spans="24:24" ht="15.75" customHeight="1">
      <c r="X890" s="329"/>
    </row>
    <row r="891" spans="24:24" ht="15.75" customHeight="1">
      <c r="X891" s="329"/>
    </row>
    <row r="892" spans="24:24" ht="15.75" customHeight="1">
      <c r="X892" s="329"/>
    </row>
    <row r="893" spans="24:24" ht="15.75" customHeight="1">
      <c r="X893" s="329"/>
    </row>
    <row r="894" spans="24:24" ht="15.75" customHeight="1">
      <c r="X894" s="329"/>
    </row>
    <row r="895" spans="24:24" ht="15.75" customHeight="1">
      <c r="X895" s="329"/>
    </row>
    <row r="896" spans="24:24" ht="15.75" customHeight="1">
      <c r="X896" s="329"/>
    </row>
    <row r="897" spans="24:24" ht="15.75" customHeight="1">
      <c r="X897" s="329"/>
    </row>
    <row r="898" spans="24:24" ht="15.75" customHeight="1">
      <c r="X898" s="329"/>
    </row>
    <row r="899" spans="24:24" ht="15.75" customHeight="1">
      <c r="X899" s="329"/>
    </row>
    <row r="900" spans="24:24" ht="15.75" customHeight="1">
      <c r="X900" s="329"/>
    </row>
    <row r="901" spans="24:24" ht="15.75" customHeight="1">
      <c r="X901" s="329"/>
    </row>
    <row r="902" spans="24:24" ht="15.75" customHeight="1">
      <c r="X902" s="329"/>
    </row>
    <row r="903" spans="24:24" ht="15.75" customHeight="1">
      <c r="X903" s="329"/>
    </row>
    <row r="904" spans="24:24" ht="15.75" customHeight="1">
      <c r="X904" s="329"/>
    </row>
    <row r="905" spans="24:24" ht="15.75" customHeight="1">
      <c r="X905" s="329"/>
    </row>
    <row r="906" spans="24:24" ht="15.75" customHeight="1">
      <c r="X906" s="329"/>
    </row>
    <row r="907" spans="24:24" ht="15.75" customHeight="1">
      <c r="X907" s="329"/>
    </row>
    <row r="908" spans="24:24" ht="15.75" customHeight="1">
      <c r="X908" s="329"/>
    </row>
    <row r="909" spans="24:24" ht="15.75" customHeight="1">
      <c r="X909" s="329"/>
    </row>
    <row r="910" spans="24:24" ht="15.75" customHeight="1">
      <c r="X910" s="329"/>
    </row>
    <row r="911" spans="24:24" ht="15.75" customHeight="1">
      <c r="X911" s="329"/>
    </row>
    <row r="912" spans="24:24" ht="15.75" customHeight="1">
      <c r="X912" s="329"/>
    </row>
    <row r="913" spans="24:24" ht="15.75" customHeight="1">
      <c r="X913" s="329"/>
    </row>
    <row r="914" spans="24:24" ht="15.75" customHeight="1">
      <c r="X914" s="329"/>
    </row>
    <row r="915" spans="24:24" ht="15.75" customHeight="1">
      <c r="X915" s="329"/>
    </row>
    <row r="916" spans="24:24" ht="15.75" customHeight="1">
      <c r="X916" s="329"/>
    </row>
    <row r="917" spans="24:24" ht="15.75" customHeight="1">
      <c r="X917" s="329"/>
    </row>
    <row r="918" spans="24:24" ht="15.75" customHeight="1">
      <c r="X918" s="329"/>
    </row>
    <row r="919" spans="24:24" ht="15.75" customHeight="1">
      <c r="X919" s="329"/>
    </row>
    <row r="920" spans="24:24" ht="15.75" customHeight="1">
      <c r="X920" s="329"/>
    </row>
    <row r="921" spans="24:24" ht="15.75" customHeight="1">
      <c r="X921" s="329"/>
    </row>
    <row r="922" spans="24:24" ht="15.75" customHeight="1">
      <c r="X922" s="329"/>
    </row>
    <row r="923" spans="24:24" ht="15.75" customHeight="1">
      <c r="X923" s="329"/>
    </row>
    <row r="924" spans="24:24" ht="15.75" customHeight="1">
      <c r="X924" s="329"/>
    </row>
    <row r="925" spans="24:24" ht="15.75" customHeight="1">
      <c r="X925" s="329"/>
    </row>
    <row r="926" spans="24:24" ht="15.75" customHeight="1">
      <c r="X926" s="329"/>
    </row>
    <row r="927" spans="24:24" ht="15.75" customHeight="1">
      <c r="X927" s="329"/>
    </row>
    <row r="928" spans="24:24" ht="15.75" customHeight="1">
      <c r="X928" s="329"/>
    </row>
    <row r="929" spans="24:24" ht="15.75" customHeight="1">
      <c r="X929" s="329"/>
    </row>
    <row r="930" spans="24:24" ht="15.75" customHeight="1">
      <c r="X930" s="329"/>
    </row>
    <row r="931" spans="24:24" ht="15.75" customHeight="1">
      <c r="X931" s="329"/>
    </row>
    <row r="932" spans="24:24" ht="15.75" customHeight="1">
      <c r="X932" s="329"/>
    </row>
    <row r="933" spans="24:24" ht="15.75" customHeight="1">
      <c r="X933" s="329"/>
    </row>
    <row r="934" spans="24:24" ht="15.75" customHeight="1">
      <c r="X934" s="329"/>
    </row>
    <row r="935" spans="24:24" ht="15.75" customHeight="1">
      <c r="X935" s="329"/>
    </row>
    <row r="936" spans="24:24" ht="15.75" customHeight="1">
      <c r="X936" s="329"/>
    </row>
    <row r="937" spans="24:24" ht="15.75" customHeight="1">
      <c r="X937" s="329"/>
    </row>
    <row r="938" spans="24:24" ht="15.75" customHeight="1">
      <c r="X938" s="329"/>
    </row>
    <row r="939" spans="24:24" ht="15.75" customHeight="1">
      <c r="X939" s="329"/>
    </row>
    <row r="940" spans="24:24" ht="15.75" customHeight="1">
      <c r="X940" s="329"/>
    </row>
    <row r="941" spans="24:24" ht="15.75" customHeight="1">
      <c r="X941" s="329"/>
    </row>
    <row r="942" spans="24:24" ht="15.75" customHeight="1">
      <c r="X942" s="329"/>
    </row>
    <row r="943" spans="24:24" ht="15.75" customHeight="1">
      <c r="X943" s="329"/>
    </row>
    <row r="944" spans="24:24" ht="15.75" customHeight="1">
      <c r="X944" s="329"/>
    </row>
    <row r="945" spans="24:24" ht="15.75" customHeight="1">
      <c r="X945" s="329"/>
    </row>
    <row r="946" spans="24:24" ht="15.75" customHeight="1">
      <c r="X946" s="329"/>
    </row>
    <row r="947" spans="24:24" ht="15.75" customHeight="1">
      <c r="X947" s="329"/>
    </row>
    <row r="948" spans="24:24" ht="15.75" customHeight="1">
      <c r="X948" s="329"/>
    </row>
    <row r="949" spans="24:24" ht="15.75" customHeight="1">
      <c r="X949" s="329"/>
    </row>
    <row r="950" spans="24:24" ht="15.75" customHeight="1">
      <c r="X950" s="329"/>
    </row>
    <row r="951" spans="24:24" ht="15.75" customHeight="1">
      <c r="X951" s="329"/>
    </row>
    <row r="952" spans="24:24" ht="15.75" customHeight="1">
      <c r="X952" s="329"/>
    </row>
    <row r="953" spans="24:24" ht="15.75" customHeight="1">
      <c r="X953" s="329"/>
    </row>
    <row r="954" spans="24:24" ht="15.75" customHeight="1">
      <c r="X954" s="329"/>
    </row>
    <row r="955" spans="24:24" ht="15.75" customHeight="1">
      <c r="X955" s="329"/>
    </row>
    <row r="956" spans="24:24" ht="15.75" customHeight="1">
      <c r="X956" s="329"/>
    </row>
    <row r="957" spans="24:24" ht="15.75" customHeight="1">
      <c r="X957" s="329"/>
    </row>
    <row r="958" spans="24:24" ht="15.75" customHeight="1">
      <c r="X958" s="329"/>
    </row>
    <row r="959" spans="24:24" ht="15.75" customHeight="1">
      <c r="X959" s="329"/>
    </row>
    <row r="960" spans="24:24" ht="15.75" customHeight="1">
      <c r="X960" s="329"/>
    </row>
    <row r="961" spans="24:24" ht="15.75" customHeight="1">
      <c r="X961" s="329"/>
    </row>
    <row r="962" spans="24:24" ht="15.75" customHeight="1">
      <c r="X962" s="329"/>
    </row>
    <row r="963" spans="24:24" ht="15.75" customHeight="1">
      <c r="X963" s="329"/>
    </row>
    <row r="964" spans="24:24" ht="15.75" customHeight="1">
      <c r="X964" s="329"/>
    </row>
    <row r="965" spans="24:24" ht="15.75" customHeight="1">
      <c r="X965" s="329"/>
    </row>
    <row r="966" spans="24:24" ht="15.75" customHeight="1">
      <c r="X966" s="329"/>
    </row>
    <row r="967" spans="24:24" ht="15.75" customHeight="1">
      <c r="X967" s="329"/>
    </row>
    <row r="968" spans="24:24" ht="15.75" customHeight="1">
      <c r="X968" s="329"/>
    </row>
    <row r="969" spans="24:24" ht="15.75" customHeight="1">
      <c r="X969" s="329"/>
    </row>
    <row r="970" spans="24:24" ht="15.75" customHeight="1">
      <c r="X970" s="329"/>
    </row>
    <row r="971" spans="24:24" ht="15.75" customHeight="1">
      <c r="X971" s="329"/>
    </row>
    <row r="972" spans="24:24" ht="15.75" customHeight="1">
      <c r="X972" s="329"/>
    </row>
    <row r="973" spans="24:24" ht="15.75" customHeight="1">
      <c r="X973" s="329"/>
    </row>
    <row r="974" spans="24:24" ht="15.75" customHeight="1">
      <c r="X974" s="329"/>
    </row>
    <row r="975" spans="24:24" ht="15.75" customHeight="1">
      <c r="X975" s="329"/>
    </row>
    <row r="976" spans="24:24" ht="15.75" customHeight="1">
      <c r="X976" s="329"/>
    </row>
    <row r="977" spans="24:24" ht="15.75" customHeight="1">
      <c r="X977" s="329"/>
    </row>
    <row r="978" spans="24:24" ht="15.75" customHeight="1">
      <c r="X978" s="329"/>
    </row>
    <row r="979" spans="24:24" ht="15.75" customHeight="1">
      <c r="X979" s="329"/>
    </row>
    <row r="980" spans="24:24" ht="15.75" customHeight="1">
      <c r="X980" s="329"/>
    </row>
    <row r="981" spans="24:24" ht="15.75" customHeight="1">
      <c r="X981" s="329"/>
    </row>
    <row r="982" spans="24:24" ht="15.75" customHeight="1">
      <c r="X982" s="329"/>
    </row>
    <row r="983" spans="24:24" ht="15.75" customHeight="1">
      <c r="X983" s="329"/>
    </row>
    <row r="984" spans="24:24" ht="15.75" customHeight="1">
      <c r="X984" s="329"/>
    </row>
    <row r="985" spans="24:24" ht="15.75" customHeight="1">
      <c r="X985" s="329"/>
    </row>
    <row r="986" spans="24:24" ht="15.75" customHeight="1">
      <c r="X986" s="329"/>
    </row>
    <row r="987" spans="24:24" ht="15.75" customHeight="1">
      <c r="X987" s="329"/>
    </row>
    <row r="988" spans="24:24" ht="15.75" customHeight="1">
      <c r="X988" s="329"/>
    </row>
    <row r="989" spans="24:24" ht="15.75" customHeight="1">
      <c r="X989" s="329"/>
    </row>
    <row r="990" spans="24:24" ht="15.75" customHeight="1">
      <c r="X990" s="329"/>
    </row>
    <row r="991" spans="24:24" ht="15.75" customHeight="1">
      <c r="X991" s="329"/>
    </row>
    <row r="992" spans="24:24" ht="15.75" customHeight="1">
      <c r="X992" s="329"/>
    </row>
    <row r="993" spans="24:24" ht="15.75" customHeight="1">
      <c r="X993" s="329"/>
    </row>
    <row r="994" spans="24:24" ht="15.75" customHeight="1">
      <c r="X994" s="329"/>
    </row>
    <row r="995" spans="24:24" ht="15.75" customHeight="1">
      <c r="X995" s="329"/>
    </row>
    <row r="996" spans="24:24" ht="15.75" customHeight="1">
      <c r="X996" s="329"/>
    </row>
    <row r="997" spans="24:24" ht="15.75" customHeight="1">
      <c r="X997" s="329"/>
    </row>
    <row r="998" spans="24:24" ht="15.75" customHeight="1">
      <c r="X998" s="329"/>
    </row>
    <row r="999" spans="24:24" ht="15.75" customHeight="1">
      <c r="X999" s="329"/>
    </row>
    <row r="1000" spans="24:24" ht="15.75" customHeight="1">
      <c r="X1000" s="329"/>
    </row>
    <row r="1001" spans="24:24" ht="15.75" customHeight="1">
      <c r="X1001" s="329"/>
    </row>
    <row r="1002" spans="24:24" ht="15.75" customHeight="1">
      <c r="X1002" s="329"/>
    </row>
    <row r="1003" spans="24:24" ht="15.75" customHeight="1">
      <c r="X1003" s="329"/>
    </row>
    <row r="1004" spans="24:24" ht="15.75" customHeight="1">
      <c r="X1004" s="329"/>
    </row>
    <row r="1005" spans="24:24" ht="15.75" customHeight="1">
      <c r="X1005" s="329"/>
    </row>
  </sheetData>
  <mergeCells count="2">
    <mergeCell ref="L4:O4"/>
    <mergeCell ref="P4:R4"/>
  </mergeCells>
  <pageMargins left="0.7" right="0.7" top="0.75" bottom="0.75" header="0" footer="0"/>
  <pageSetup orientation="landscape"/>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X998"/>
  <sheetViews>
    <sheetView workbookViewId="0"/>
  </sheetViews>
  <sheetFormatPr defaultColWidth="12.5703125" defaultRowHeight="15" customHeight="1"/>
  <cols>
    <col min="1" max="1" width="5.7109375" customWidth="1"/>
    <col min="2" max="2" width="20.7109375" customWidth="1"/>
    <col min="3" max="3" width="13.5703125" customWidth="1"/>
    <col min="4" max="4" width="14.28515625" customWidth="1"/>
    <col min="5" max="5" width="14.42578125" customWidth="1"/>
    <col min="6" max="6" width="10.42578125" customWidth="1"/>
    <col min="7" max="7" width="12.7109375" customWidth="1"/>
    <col min="8" max="8" width="2.28515625" customWidth="1"/>
    <col min="9" max="9" width="46" customWidth="1"/>
    <col min="10" max="10" width="2.710937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3.42578125" customWidth="1"/>
    <col min="24" max="24" width="11.42578125" customWidth="1"/>
  </cols>
  <sheetData>
    <row r="1" spans="1:24" ht="15.75" customHeight="1">
      <c r="A1" s="128" t="s">
        <v>122</v>
      </c>
      <c r="B1" s="129"/>
      <c r="C1" s="292"/>
      <c r="D1" s="132"/>
      <c r="E1" s="132"/>
      <c r="F1" s="132"/>
      <c r="G1" s="132"/>
      <c r="H1" s="132"/>
      <c r="I1" s="132"/>
      <c r="J1" s="132"/>
      <c r="K1" s="132"/>
      <c r="L1" s="210"/>
      <c r="M1" s="210"/>
      <c r="N1" s="132"/>
      <c r="O1" s="132"/>
      <c r="P1" s="132"/>
      <c r="Q1" s="132"/>
      <c r="R1" s="132"/>
      <c r="S1" s="132"/>
      <c r="T1" s="165"/>
      <c r="U1" s="129"/>
      <c r="V1" s="129"/>
      <c r="W1" s="129"/>
      <c r="X1" s="129"/>
    </row>
    <row r="2" spans="1:24" ht="15.75" customHeight="1">
      <c r="A2" s="128" t="s">
        <v>357</v>
      </c>
      <c r="B2" s="129"/>
      <c r="C2" s="292"/>
      <c r="D2" s="132"/>
      <c r="E2" s="132"/>
      <c r="F2" s="132"/>
      <c r="G2" s="132"/>
      <c r="H2" s="132"/>
      <c r="I2" s="132"/>
      <c r="J2" s="132"/>
      <c r="K2" s="132"/>
      <c r="L2" s="132"/>
      <c r="M2" s="132"/>
      <c r="N2" s="132"/>
      <c r="O2" s="132"/>
      <c r="P2" s="132"/>
      <c r="Q2" s="132"/>
      <c r="R2" s="132"/>
      <c r="S2" s="132"/>
      <c r="T2" s="165"/>
      <c r="U2" s="129"/>
      <c r="V2" s="129"/>
      <c r="W2" s="129"/>
      <c r="X2" s="129"/>
    </row>
    <row r="3" spans="1:24" ht="15.75" customHeight="1">
      <c r="A3" s="293"/>
      <c r="B3" s="294"/>
      <c r="C3" s="292"/>
      <c r="D3" s="132"/>
      <c r="E3" s="132"/>
      <c r="F3" s="132"/>
      <c r="G3" s="132"/>
      <c r="H3" s="132"/>
      <c r="I3" s="132"/>
      <c r="J3" s="132"/>
      <c r="K3" s="132"/>
      <c r="L3" s="132"/>
      <c r="M3" s="132"/>
      <c r="N3" s="132"/>
      <c r="O3" s="132"/>
      <c r="P3" s="132"/>
      <c r="Q3" s="132"/>
      <c r="R3" s="198"/>
      <c r="S3" s="198"/>
      <c r="T3" s="165"/>
      <c r="U3" s="129"/>
      <c r="V3" s="129"/>
      <c r="W3" s="129"/>
      <c r="X3" s="129"/>
    </row>
    <row r="4" spans="1:24" ht="38.25" customHeight="1">
      <c r="A4" s="128" t="s">
        <v>126</v>
      </c>
      <c r="B4" s="129"/>
      <c r="C4" s="137" t="s">
        <v>127</v>
      </c>
      <c r="D4" s="140" t="s">
        <v>128</v>
      </c>
      <c r="E4" s="140" t="s">
        <v>129</v>
      </c>
      <c r="F4" s="140" t="s">
        <v>130</v>
      </c>
      <c r="G4" s="140" t="s">
        <v>131</v>
      </c>
      <c r="H4" s="298"/>
      <c r="I4" s="299" t="s">
        <v>298</v>
      </c>
      <c r="J4" s="298"/>
      <c r="K4" s="142">
        <v>45474</v>
      </c>
      <c r="L4" s="142">
        <v>45505</v>
      </c>
      <c r="M4" s="142">
        <v>45536</v>
      </c>
      <c r="N4" s="142">
        <v>45566</v>
      </c>
      <c r="O4" s="142">
        <v>45597</v>
      </c>
      <c r="P4" s="142">
        <v>45627</v>
      </c>
      <c r="Q4" s="142">
        <v>45658</v>
      </c>
      <c r="R4" s="142">
        <v>45689</v>
      </c>
      <c r="S4" s="142">
        <v>45717</v>
      </c>
      <c r="T4" s="142">
        <v>45748</v>
      </c>
      <c r="U4" s="142">
        <v>45778</v>
      </c>
      <c r="V4" s="142">
        <v>45809</v>
      </c>
      <c r="W4" s="386"/>
      <c r="X4" s="144" t="s">
        <v>132</v>
      </c>
    </row>
    <row r="5" spans="1:24" ht="15.75" customHeight="1">
      <c r="A5" s="128"/>
      <c r="B5" s="129" t="s">
        <v>358</v>
      </c>
      <c r="C5" s="292">
        <v>200000</v>
      </c>
      <c r="D5" s="210">
        <v>134526.97</v>
      </c>
      <c r="E5" s="210">
        <v>135000</v>
      </c>
      <c r="F5" s="210">
        <v>250000</v>
      </c>
      <c r="G5" s="210">
        <f t="shared" ref="G5:G6" si="0">F5-C5</f>
        <v>50000</v>
      </c>
      <c r="H5" s="249"/>
      <c r="I5" s="387" t="s">
        <v>359</v>
      </c>
      <c r="J5" s="249"/>
      <c r="K5" s="214">
        <v>0</v>
      </c>
      <c r="L5" s="214">
        <v>25000</v>
      </c>
      <c r="M5" s="214">
        <v>25000</v>
      </c>
      <c r="N5" s="214">
        <v>25000</v>
      </c>
      <c r="O5" s="214">
        <v>25000</v>
      </c>
      <c r="P5" s="214">
        <v>25000</v>
      </c>
      <c r="Q5" s="214">
        <v>25000</v>
      </c>
      <c r="R5" s="214">
        <v>25000</v>
      </c>
      <c r="S5" s="214">
        <v>25000</v>
      </c>
      <c r="T5" s="214">
        <v>25000</v>
      </c>
      <c r="U5" s="214">
        <v>25000</v>
      </c>
      <c r="V5" s="214">
        <v>0</v>
      </c>
      <c r="W5" s="301"/>
      <c r="X5" s="214">
        <f>SUM(K5:V5)</f>
        <v>250000</v>
      </c>
    </row>
    <row r="6" spans="1:24" ht="15.75" customHeight="1">
      <c r="A6" s="128" t="s">
        <v>153</v>
      </c>
      <c r="B6" s="128"/>
      <c r="C6" s="388">
        <f t="shared" ref="C6:F6" si="1">SUM(C5)</f>
        <v>200000</v>
      </c>
      <c r="D6" s="388">
        <f t="shared" si="1"/>
        <v>134526.97</v>
      </c>
      <c r="E6" s="388">
        <f t="shared" si="1"/>
        <v>135000</v>
      </c>
      <c r="F6" s="388">
        <f t="shared" si="1"/>
        <v>250000</v>
      </c>
      <c r="G6" s="190">
        <f t="shared" si="0"/>
        <v>50000</v>
      </c>
      <c r="H6" s="337"/>
      <c r="I6" s="336"/>
      <c r="J6" s="337"/>
      <c r="K6" s="339">
        <f t="shared" ref="K6:X6" si="2">SUM(K5)</f>
        <v>0</v>
      </c>
      <c r="L6" s="339">
        <f t="shared" si="2"/>
        <v>25000</v>
      </c>
      <c r="M6" s="339">
        <f t="shared" si="2"/>
        <v>25000</v>
      </c>
      <c r="N6" s="339">
        <f t="shared" si="2"/>
        <v>25000</v>
      </c>
      <c r="O6" s="339">
        <f t="shared" si="2"/>
        <v>25000</v>
      </c>
      <c r="P6" s="339">
        <f t="shared" si="2"/>
        <v>25000</v>
      </c>
      <c r="Q6" s="339">
        <f t="shared" si="2"/>
        <v>25000</v>
      </c>
      <c r="R6" s="339">
        <f t="shared" si="2"/>
        <v>25000</v>
      </c>
      <c r="S6" s="339">
        <f t="shared" si="2"/>
        <v>25000</v>
      </c>
      <c r="T6" s="339">
        <f t="shared" si="2"/>
        <v>25000</v>
      </c>
      <c r="U6" s="339">
        <f t="shared" si="2"/>
        <v>25000</v>
      </c>
      <c r="V6" s="339">
        <f t="shared" si="2"/>
        <v>0</v>
      </c>
      <c r="W6" s="389">
        <f t="shared" si="2"/>
        <v>0</v>
      </c>
      <c r="X6" s="339">
        <f t="shared" si="2"/>
        <v>250000</v>
      </c>
    </row>
    <row r="7" spans="1:24" ht="15.75" customHeight="1">
      <c r="A7" s="128"/>
      <c r="B7" s="129"/>
      <c r="C7" s="292"/>
      <c r="D7" s="198"/>
      <c r="E7" s="198"/>
      <c r="F7" s="198"/>
      <c r="G7" s="198"/>
      <c r="H7" s="198"/>
      <c r="I7" s="198"/>
      <c r="J7" s="198"/>
      <c r="K7" s="198"/>
      <c r="L7" s="198"/>
      <c r="M7" s="135"/>
      <c r="N7" s="135"/>
      <c r="O7" s="135"/>
      <c r="P7" s="135"/>
      <c r="Q7" s="135"/>
      <c r="R7" s="135"/>
      <c r="S7" s="135"/>
      <c r="T7" s="135"/>
      <c r="U7" s="135"/>
      <c r="V7" s="135"/>
      <c r="W7" s="135"/>
      <c r="X7" s="135"/>
    </row>
    <row r="8" spans="1:24" ht="29.25" customHeight="1">
      <c r="A8" s="128" t="s">
        <v>154</v>
      </c>
      <c r="B8" s="129"/>
      <c r="C8" s="137"/>
      <c r="D8" s="140"/>
      <c r="E8" s="140"/>
      <c r="F8" s="140"/>
      <c r="G8" s="140"/>
      <c r="H8" s="198"/>
      <c r="I8" s="198"/>
      <c r="J8" s="198"/>
      <c r="K8" s="198"/>
      <c r="L8" s="198"/>
      <c r="M8" s="295"/>
      <c r="N8" s="295"/>
      <c r="O8" s="295"/>
      <c r="P8" s="295"/>
      <c r="Q8" s="295"/>
      <c r="R8" s="295"/>
      <c r="S8" s="295"/>
      <c r="T8" s="295"/>
      <c r="U8" s="295"/>
      <c r="V8" s="295"/>
      <c r="W8" s="295"/>
      <c r="X8" s="295"/>
    </row>
    <row r="9" spans="1:24" ht="15.75" customHeight="1">
      <c r="A9" s="128"/>
      <c r="B9" s="129" t="s">
        <v>360</v>
      </c>
      <c r="C9" s="320">
        <v>510000</v>
      </c>
      <c r="D9" s="351">
        <v>229709.67</v>
      </c>
      <c r="E9" s="351">
        <v>280000</v>
      </c>
      <c r="F9" s="351">
        <v>510000</v>
      </c>
      <c r="G9" s="351">
        <f t="shared" ref="G9:G11" si="3">F9-C9</f>
        <v>0</v>
      </c>
      <c r="H9" s="211"/>
      <c r="I9" s="390"/>
      <c r="J9" s="211"/>
      <c r="K9" s="391">
        <f>72000/12</f>
        <v>6000</v>
      </c>
      <c r="L9" s="391">
        <f t="shared" ref="L9:U9" si="4">72000/12+438000/10</f>
        <v>49800</v>
      </c>
      <c r="M9" s="391">
        <f t="shared" si="4"/>
        <v>49800</v>
      </c>
      <c r="N9" s="391">
        <f t="shared" si="4"/>
        <v>49800</v>
      </c>
      <c r="O9" s="391">
        <f t="shared" si="4"/>
        <v>49800</v>
      </c>
      <c r="P9" s="391">
        <f t="shared" si="4"/>
        <v>49800</v>
      </c>
      <c r="Q9" s="391">
        <f t="shared" si="4"/>
        <v>49800</v>
      </c>
      <c r="R9" s="391">
        <f t="shared" si="4"/>
        <v>49800</v>
      </c>
      <c r="S9" s="391">
        <f t="shared" si="4"/>
        <v>49800</v>
      </c>
      <c r="T9" s="391">
        <f t="shared" si="4"/>
        <v>49800</v>
      </c>
      <c r="U9" s="391">
        <f t="shared" si="4"/>
        <v>49800</v>
      </c>
      <c r="V9" s="391">
        <f>72000/12</f>
        <v>6000</v>
      </c>
      <c r="W9" s="392"/>
      <c r="X9" s="214">
        <f t="shared" ref="X9:X10" si="5">SUM(K9:V9)</f>
        <v>510000</v>
      </c>
    </row>
    <row r="10" spans="1:24" ht="15.75" customHeight="1">
      <c r="A10" s="128"/>
      <c r="B10" s="129" t="s">
        <v>361</v>
      </c>
      <c r="C10" s="320">
        <v>15000</v>
      </c>
      <c r="D10" s="351">
        <v>7282.36</v>
      </c>
      <c r="E10" s="351">
        <v>8000</v>
      </c>
      <c r="F10" s="351">
        <v>17000</v>
      </c>
      <c r="G10" s="351">
        <f t="shared" si="3"/>
        <v>2000</v>
      </c>
      <c r="H10" s="211"/>
      <c r="I10" s="390" t="s">
        <v>362</v>
      </c>
      <c r="J10" s="211"/>
      <c r="K10" s="212">
        <v>0</v>
      </c>
      <c r="L10" s="212">
        <v>1700</v>
      </c>
      <c r="M10" s="212">
        <v>1700</v>
      </c>
      <c r="N10" s="212">
        <v>1700</v>
      </c>
      <c r="O10" s="212">
        <v>1700</v>
      </c>
      <c r="P10" s="212">
        <v>1700</v>
      </c>
      <c r="Q10" s="212">
        <v>1700</v>
      </c>
      <c r="R10" s="212">
        <v>1700</v>
      </c>
      <c r="S10" s="212">
        <v>1700</v>
      </c>
      <c r="T10" s="212">
        <v>1700</v>
      </c>
      <c r="U10" s="212">
        <v>1700</v>
      </c>
      <c r="V10" s="212">
        <v>0</v>
      </c>
      <c r="W10" s="393"/>
      <c r="X10" s="214">
        <f t="shared" si="5"/>
        <v>17000</v>
      </c>
    </row>
    <row r="11" spans="1:24" ht="15.75" customHeight="1">
      <c r="A11" s="128" t="s">
        <v>363</v>
      </c>
      <c r="B11" s="128"/>
      <c r="C11" s="321">
        <f t="shared" ref="C11:F11" si="6">C10+C9</f>
        <v>525000</v>
      </c>
      <c r="D11" s="354">
        <f t="shared" si="6"/>
        <v>236992.03</v>
      </c>
      <c r="E11" s="354">
        <f t="shared" si="6"/>
        <v>288000</v>
      </c>
      <c r="F11" s="354">
        <f t="shared" si="6"/>
        <v>527000</v>
      </c>
      <c r="G11" s="354">
        <f t="shared" si="3"/>
        <v>2000</v>
      </c>
      <c r="H11" s="219"/>
      <c r="I11" s="354"/>
      <c r="J11" s="219"/>
      <c r="K11" s="323">
        <f t="shared" ref="K11:X11" si="7">K10+K9</f>
        <v>6000</v>
      </c>
      <c r="L11" s="323">
        <f t="shared" si="7"/>
        <v>51500</v>
      </c>
      <c r="M11" s="323">
        <f t="shared" si="7"/>
        <v>51500</v>
      </c>
      <c r="N11" s="323">
        <f t="shared" si="7"/>
        <v>51500</v>
      </c>
      <c r="O11" s="323">
        <f t="shared" si="7"/>
        <v>51500</v>
      </c>
      <c r="P11" s="323">
        <f t="shared" si="7"/>
        <v>51500</v>
      </c>
      <c r="Q11" s="323">
        <f t="shared" si="7"/>
        <v>51500</v>
      </c>
      <c r="R11" s="323">
        <f t="shared" si="7"/>
        <v>51500</v>
      </c>
      <c r="S11" s="323">
        <f t="shared" si="7"/>
        <v>51500</v>
      </c>
      <c r="T11" s="323">
        <f t="shared" si="7"/>
        <v>51500</v>
      </c>
      <c r="U11" s="323">
        <f t="shared" si="7"/>
        <v>51500</v>
      </c>
      <c r="V11" s="323">
        <f t="shared" si="7"/>
        <v>6000</v>
      </c>
      <c r="W11" s="394">
        <f t="shared" si="7"/>
        <v>0</v>
      </c>
      <c r="X11" s="323">
        <f t="shared" si="7"/>
        <v>527000</v>
      </c>
    </row>
    <row r="12" spans="1:24" ht="15.75" customHeight="1">
      <c r="A12" s="129"/>
      <c r="B12" s="129"/>
      <c r="C12" s="292"/>
      <c r="D12" s="198"/>
      <c r="E12" s="198"/>
      <c r="F12" s="198"/>
      <c r="G12" s="198"/>
      <c r="H12" s="198"/>
      <c r="I12" s="198"/>
      <c r="J12" s="198"/>
      <c r="K12" s="198"/>
      <c r="L12" s="198"/>
      <c r="M12" s="196"/>
      <c r="N12" s="196"/>
      <c r="O12" s="196"/>
      <c r="P12" s="196"/>
      <c r="Q12" s="196"/>
      <c r="R12" s="196"/>
      <c r="S12" s="196"/>
      <c r="T12" s="196"/>
      <c r="U12" s="196"/>
      <c r="V12" s="196"/>
      <c r="W12" s="196"/>
      <c r="X12" s="196"/>
    </row>
    <row r="13" spans="1:24" ht="15.75" hidden="1" customHeight="1">
      <c r="A13" s="276" t="s">
        <v>291</v>
      </c>
      <c r="B13" s="129"/>
      <c r="C13" s="292"/>
      <c r="D13" s="210"/>
      <c r="E13" s="210"/>
      <c r="F13" s="210"/>
      <c r="G13" s="210"/>
      <c r="H13" s="210"/>
      <c r="I13" s="210"/>
      <c r="J13" s="210"/>
      <c r="K13" s="326">
        <f t="shared" ref="K13:X13" si="8">K6-K11</f>
        <v>-6000</v>
      </c>
      <c r="L13" s="326">
        <f t="shared" si="8"/>
        <v>-26500</v>
      </c>
      <c r="M13" s="278">
        <f t="shared" si="8"/>
        <v>-26500</v>
      </c>
      <c r="N13" s="278">
        <f t="shared" si="8"/>
        <v>-26500</v>
      </c>
      <c r="O13" s="278">
        <f t="shared" si="8"/>
        <v>-26500</v>
      </c>
      <c r="P13" s="278">
        <f t="shared" si="8"/>
        <v>-26500</v>
      </c>
      <c r="Q13" s="278">
        <f t="shared" si="8"/>
        <v>-26500</v>
      </c>
      <c r="R13" s="278">
        <f t="shared" si="8"/>
        <v>-26500</v>
      </c>
      <c r="S13" s="278">
        <f t="shared" si="8"/>
        <v>-26500</v>
      </c>
      <c r="T13" s="278">
        <f t="shared" si="8"/>
        <v>-26500</v>
      </c>
      <c r="U13" s="278">
        <f t="shared" si="8"/>
        <v>-26500</v>
      </c>
      <c r="V13" s="278">
        <f t="shared" si="8"/>
        <v>-6000</v>
      </c>
      <c r="W13" s="278">
        <f t="shared" si="8"/>
        <v>0</v>
      </c>
      <c r="X13" s="278">
        <f t="shared" si="8"/>
        <v>-277000</v>
      </c>
    </row>
    <row r="14" spans="1:24" ht="15.75" customHeight="1">
      <c r="A14" s="128"/>
      <c r="B14" s="129"/>
      <c r="C14" s="292"/>
      <c r="D14" s="132"/>
      <c r="E14" s="132"/>
      <c r="F14" s="132"/>
      <c r="G14" s="132"/>
      <c r="H14" s="132"/>
      <c r="I14" s="132"/>
      <c r="J14" s="132"/>
      <c r="K14" s="132"/>
      <c r="L14" s="132"/>
      <c r="M14" s="129"/>
      <c r="N14" s="129"/>
      <c r="O14" s="129"/>
      <c r="P14" s="129"/>
      <c r="Q14" s="129"/>
      <c r="R14" s="129"/>
      <c r="S14" s="129"/>
      <c r="T14" s="129"/>
      <c r="U14" s="129"/>
      <c r="V14" s="129"/>
      <c r="W14" s="129"/>
      <c r="X14" s="129"/>
    </row>
    <row r="15" spans="1:24" ht="15.75" customHeight="1">
      <c r="C15" s="328"/>
      <c r="D15" s="289"/>
      <c r="E15" s="289"/>
      <c r="F15" s="289"/>
      <c r="G15" s="289"/>
      <c r="H15" s="289"/>
      <c r="I15" s="289"/>
      <c r="J15" s="289"/>
      <c r="K15" s="289"/>
      <c r="L15" s="289"/>
      <c r="M15" s="289"/>
      <c r="N15" s="289"/>
      <c r="O15" s="289"/>
      <c r="P15" s="289"/>
      <c r="Q15" s="289"/>
      <c r="R15" s="289"/>
      <c r="S15" s="289"/>
      <c r="T15" s="289"/>
      <c r="U15" s="289"/>
      <c r="V15" s="289"/>
      <c r="W15" s="289"/>
      <c r="X15" s="289"/>
    </row>
    <row r="16" spans="1:24" ht="15.75" customHeight="1">
      <c r="C16" s="328"/>
      <c r="D16" s="289"/>
      <c r="E16" s="289"/>
      <c r="F16" s="289"/>
      <c r="G16" s="289"/>
      <c r="H16" s="289"/>
      <c r="I16" s="289"/>
      <c r="J16" s="289"/>
      <c r="K16" s="289"/>
      <c r="L16" s="289"/>
      <c r="M16" s="289"/>
      <c r="N16" s="289"/>
      <c r="O16" s="289"/>
      <c r="P16" s="289"/>
      <c r="Q16" s="289"/>
      <c r="R16" s="289"/>
      <c r="S16" s="289"/>
      <c r="T16" s="289"/>
      <c r="U16" s="289"/>
      <c r="V16" s="289"/>
      <c r="W16" s="289"/>
      <c r="X16" s="289"/>
    </row>
    <row r="17" spans="3:24" ht="15.75" customHeight="1">
      <c r="C17" s="328"/>
      <c r="D17" s="289"/>
      <c r="E17" s="289"/>
      <c r="F17" s="289"/>
      <c r="G17" s="289"/>
      <c r="H17" s="289"/>
      <c r="I17" s="289"/>
      <c r="J17" s="289"/>
      <c r="K17" s="289"/>
      <c r="L17" s="289"/>
      <c r="M17" s="289"/>
      <c r="N17" s="289"/>
      <c r="O17" s="289"/>
      <c r="P17" s="289"/>
      <c r="Q17" s="289"/>
      <c r="R17" s="289"/>
      <c r="S17" s="289"/>
      <c r="T17" s="289"/>
      <c r="U17" s="289"/>
      <c r="V17" s="289"/>
      <c r="W17" s="289"/>
      <c r="X17" s="289"/>
    </row>
    <row r="18" spans="3:24" ht="15.75" customHeight="1">
      <c r="C18" s="328"/>
      <c r="D18" s="289"/>
      <c r="E18" s="289"/>
      <c r="F18" s="289"/>
      <c r="G18" s="289"/>
      <c r="H18" s="289"/>
      <c r="I18" s="289"/>
      <c r="J18" s="289"/>
      <c r="K18" s="289"/>
      <c r="L18" s="289"/>
      <c r="M18" s="289"/>
      <c r="N18" s="289"/>
      <c r="O18" s="289"/>
      <c r="P18" s="289"/>
      <c r="Q18" s="289"/>
      <c r="R18" s="289"/>
      <c r="S18" s="289"/>
      <c r="T18" s="289"/>
      <c r="U18" s="289"/>
      <c r="V18" s="289"/>
      <c r="W18" s="289"/>
      <c r="X18" s="289"/>
    </row>
    <row r="19" spans="3:24" ht="15.75" customHeight="1">
      <c r="C19" s="328"/>
      <c r="D19" s="289"/>
      <c r="E19" s="289"/>
      <c r="F19" s="289"/>
      <c r="G19" s="289"/>
      <c r="H19" s="289"/>
      <c r="I19" s="289"/>
      <c r="J19" s="289"/>
      <c r="K19" s="289"/>
      <c r="L19" s="289"/>
      <c r="M19" s="289"/>
      <c r="N19" s="289"/>
      <c r="O19" s="289"/>
      <c r="P19" s="289"/>
      <c r="Q19" s="289"/>
      <c r="R19" s="289"/>
      <c r="S19" s="289"/>
      <c r="T19" s="289"/>
      <c r="U19" s="289"/>
      <c r="V19" s="289"/>
      <c r="W19" s="289"/>
      <c r="X19" s="289"/>
    </row>
    <row r="20" spans="3:24" ht="15.75" customHeight="1">
      <c r="C20" s="328"/>
      <c r="D20" s="289"/>
      <c r="E20" s="289"/>
      <c r="F20" s="289"/>
      <c r="G20" s="289"/>
      <c r="H20" s="289"/>
      <c r="I20" s="289"/>
      <c r="J20" s="289"/>
      <c r="K20" s="289"/>
      <c r="L20" s="289"/>
      <c r="M20" s="289"/>
      <c r="N20" s="289"/>
      <c r="O20" s="289"/>
      <c r="P20" s="289"/>
      <c r="Q20" s="289"/>
      <c r="R20" s="289"/>
      <c r="S20" s="289"/>
      <c r="T20" s="289"/>
      <c r="U20" s="289"/>
      <c r="V20" s="289"/>
      <c r="W20" s="289"/>
      <c r="X20" s="289"/>
    </row>
    <row r="21" spans="3:24" ht="15.75" customHeight="1">
      <c r="C21" s="328"/>
      <c r="D21" s="289"/>
      <c r="E21" s="289"/>
      <c r="F21" s="289"/>
      <c r="G21" s="289"/>
      <c r="H21" s="289"/>
      <c r="I21" s="289"/>
      <c r="J21" s="289"/>
      <c r="K21" s="289"/>
      <c r="L21" s="289"/>
      <c r="M21" s="289"/>
      <c r="N21" s="289"/>
      <c r="O21" s="289"/>
      <c r="P21" s="289"/>
      <c r="Q21" s="289"/>
      <c r="R21" s="289"/>
      <c r="S21" s="289"/>
      <c r="T21" s="289"/>
      <c r="U21" s="289"/>
      <c r="V21" s="289"/>
      <c r="W21" s="289"/>
      <c r="X21" s="289"/>
    </row>
    <row r="22" spans="3:24" ht="15.75" customHeight="1">
      <c r="C22" s="328"/>
      <c r="D22" s="289"/>
      <c r="E22" s="289"/>
      <c r="F22" s="289"/>
      <c r="G22" s="289"/>
      <c r="H22" s="289"/>
      <c r="I22" s="289"/>
      <c r="J22" s="289"/>
      <c r="K22" s="289"/>
      <c r="L22" s="289"/>
      <c r="M22" s="289"/>
      <c r="N22" s="289"/>
      <c r="O22" s="289"/>
      <c r="P22" s="289"/>
      <c r="Q22" s="289"/>
      <c r="R22" s="289"/>
      <c r="S22" s="289"/>
      <c r="T22" s="289"/>
      <c r="U22" s="289"/>
      <c r="V22" s="289"/>
      <c r="W22" s="289"/>
      <c r="X22" s="289"/>
    </row>
    <row r="23" spans="3:24" ht="15.75" customHeight="1">
      <c r="C23" s="328"/>
      <c r="D23" s="289"/>
      <c r="E23" s="289"/>
      <c r="F23" s="289"/>
      <c r="G23" s="289"/>
      <c r="H23" s="289"/>
      <c r="I23" s="289"/>
      <c r="J23" s="289"/>
      <c r="K23" s="289"/>
      <c r="L23" s="289"/>
      <c r="M23" s="289"/>
      <c r="N23" s="289"/>
      <c r="O23" s="289"/>
      <c r="P23" s="289"/>
      <c r="Q23" s="289"/>
      <c r="R23" s="289"/>
      <c r="S23" s="289"/>
      <c r="T23" s="289"/>
      <c r="U23" s="289"/>
      <c r="V23" s="289"/>
      <c r="W23" s="289"/>
      <c r="X23" s="289"/>
    </row>
    <row r="24" spans="3:24" ht="15.75" customHeight="1">
      <c r="C24" s="328"/>
      <c r="D24" s="289"/>
      <c r="E24" s="289"/>
      <c r="F24" s="289"/>
      <c r="G24" s="289"/>
      <c r="H24" s="289"/>
      <c r="I24" s="289"/>
      <c r="J24" s="289"/>
      <c r="K24" s="289"/>
      <c r="L24" s="289"/>
      <c r="M24" s="289"/>
      <c r="N24" s="289"/>
      <c r="O24" s="289"/>
      <c r="P24" s="289"/>
      <c r="Q24" s="289"/>
      <c r="R24" s="289"/>
      <c r="S24" s="289"/>
      <c r="T24" s="289"/>
      <c r="U24" s="289"/>
      <c r="V24" s="289"/>
      <c r="W24" s="289"/>
      <c r="X24" s="289"/>
    </row>
    <row r="25" spans="3:24" ht="15.75" customHeight="1">
      <c r="C25" s="328"/>
      <c r="D25" s="289"/>
      <c r="E25" s="289"/>
      <c r="F25" s="289"/>
      <c r="G25" s="289"/>
      <c r="H25" s="289"/>
      <c r="I25" s="289"/>
      <c r="J25" s="289"/>
      <c r="K25" s="289"/>
      <c r="L25" s="289"/>
      <c r="M25" s="289"/>
      <c r="N25" s="289"/>
      <c r="O25" s="289"/>
      <c r="P25" s="289"/>
      <c r="Q25" s="289"/>
      <c r="R25" s="289"/>
      <c r="S25" s="289"/>
      <c r="T25" s="289"/>
      <c r="U25" s="289"/>
      <c r="V25" s="289"/>
      <c r="W25" s="289"/>
      <c r="X25" s="289"/>
    </row>
    <row r="26" spans="3:24" ht="15.75" customHeight="1">
      <c r="C26" s="328"/>
      <c r="D26" s="289"/>
      <c r="E26" s="289"/>
      <c r="F26" s="289"/>
      <c r="G26" s="289"/>
      <c r="H26" s="289"/>
      <c r="I26" s="289"/>
      <c r="J26" s="289"/>
      <c r="K26" s="289"/>
      <c r="L26" s="289"/>
      <c r="M26" s="289"/>
      <c r="N26" s="289"/>
      <c r="O26" s="289"/>
      <c r="P26" s="289"/>
      <c r="Q26" s="289"/>
      <c r="R26" s="289"/>
      <c r="S26" s="289"/>
      <c r="T26" s="289"/>
      <c r="U26" s="289"/>
      <c r="V26" s="289"/>
      <c r="W26" s="289"/>
      <c r="X26" s="289"/>
    </row>
    <row r="27" spans="3:24" ht="15.75" customHeight="1">
      <c r="C27" s="328"/>
      <c r="D27" s="289"/>
      <c r="E27" s="289"/>
      <c r="F27" s="289"/>
      <c r="G27" s="289"/>
      <c r="H27" s="289"/>
      <c r="I27" s="289"/>
      <c r="J27" s="289"/>
      <c r="K27" s="289"/>
      <c r="L27" s="289"/>
      <c r="M27" s="289"/>
      <c r="N27" s="289"/>
      <c r="O27" s="289"/>
      <c r="P27" s="289"/>
      <c r="Q27" s="289"/>
      <c r="R27" s="289"/>
      <c r="S27" s="289"/>
      <c r="T27" s="289"/>
      <c r="U27" s="289"/>
      <c r="V27" s="289"/>
      <c r="W27" s="289"/>
      <c r="X27" s="289"/>
    </row>
    <row r="28" spans="3:24" ht="15.75" customHeight="1">
      <c r="C28" s="328"/>
      <c r="D28" s="289"/>
      <c r="E28" s="289"/>
      <c r="F28" s="289"/>
      <c r="G28" s="289"/>
      <c r="H28" s="289"/>
      <c r="I28" s="289"/>
      <c r="J28" s="289"/>
      <c r="K28" s="289"/>
      <c r="L28" s="289"/>
      <c r="M28" s="289"/>
      <c r="N28" s="289"/>
      <c r="O28" s="289"/>
      <c r="P28" s="289"/>
      <c r="Q28" s="289"/>
      <c r="R28" s="289"/>
      <c r="S28" s="289"/>
      <c r="T28" s="289"/>
      <c r="U28" s="289"/>
      <c r="V28" s="289"/>
      <c r="W28" s="289"/>
      <c r="X28" s="289"/>
    </row>
    <row r="29" spans="3:24" ht="15.75" customHeight="1">
      <c r="C29" s="328"/>
      <c r="D29" s="289"/>
      <c r="E29" s="289"/>
      <c r="F29" s="289"/>
      <c r="G29" s="289"/>
      <c r="H29" s="289"/>
      <c r="I29" s="289"/>
      <c r="J29" s="289"/>
      <c r="K29" s="289"/>
      <c r="L29" s="289"/>
      <c r="M29" s="289"/>
      <c r="N29" s="289"/>
      <c r="O29" s="289"/>
      <c r="P29" s="289"/>
      <c r="Q29" s="289"/>
      <c r="R29" s="289"/>
      <c r="S29" s="289"/>
      <c r="T29" s="289"/>
      <c r="U29" s="289"/>
      <c r="V29" s="289"/>
      <c r="W29" s="289"/>
      <c r="X29" s="289"/>
    </row>
    <row r="30" spans="3:24" ht="15.75" customHeight="1">
      <c r="C30" s="328"/>
      <c r="D30" s="289"/>
      <c r="E30" s="289"/>
      <c r="F30" s="289"/>
      <c r="G30" s="289"/>
      <c r="H30" s="289"/>
      <c r="I30" s="289"/>
      <c r="J30" s="289"/>
      <c r="K30" s="289"/>
      <c r="L30" s="289"/>
      <c r="M30" s="289"/>
      <c r="N30" s="289"/>
      <c r="O30" s="289"/>
      <c r="P30" s="289"/>
      <c r="Q30" s="289"/>
      <c r="R30" s="289"/>
      <c r="S30" s="289"/>
      <c r="T30" s="289"/>
      <c r="U30" s="289"/>
      <c r="V30" s="289"/>
      <c r="W30" s="289"/>
      <c r="X30" s="289"/>
    </row>
    <row r="31" spans="3:24" ht="15.75" customHeight="1">
      <c r="C31" s="328"/>
      <c r="D31" s="289"/>
      <c r="E31" s="289"/>
      <c r="F31" s="289"/>
      <c r="G31" s="289"/>
      <c r="H31" s="289"/>
      <c r="I31" s="289"/>
      <c r="J31" s="289"/>
      <c r="K31" s="289"/>
      <c r="L31" s="289"/>
      <c r="M31" s="289"/>
      <c r="N31" s="289"/>
      <c r="O31" s="289"/>
      <c r="P31" s="289"/>
      <c r="Q31" s="289"/>
      <c r="R31" s="289"/>
      <c r="S31" s="289"/>
      <c r="T31" s="289"/>
      <c r="U31" s="289"/>
      <c r="V31" s="289"/>
      <c r="W31" s="289"/>
      <c r="X31" s="289"/>
    </row>
    <row r="32" spans="3:24" ht="15.75" customHeight="1">
      <c r="C32" s="328"/>
      <c r="D32" s="289"/>
      <c r="E32" s="289"/>
      <c r="F32" s="289"/>
      <c r="G32" s="289"/>
      <c r="H32" s="289"/>
      <c r="I32" s="289"/>
      <c r="J32" s="289"/>
      <c r="K32" s="289"/>
      <c r="L32" s="289"/>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289"/>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289"/>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289"/>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3:24" ht="15.75" customHeight="1"/>
    <row r="220" spans="3:24" ht="15.75" customHeight="1"/>
    <row r="221" spans="3:24" ht="15.75" customHeight="1"/>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1004"/>
  <sheetViews>
    <sheetView workbookViewId="0"/>
  </sheetViews>
  <sheetFormatPr defaultColWidth="12.5703125" defaultRowHeight="15" customHeight="1"/>
  <cols>
    <col min="1" max="1" width="5.7109375" customWidth="1"/>
    <col min="2" max="2" width="27.85546875" customWidth="1"/>
    <col min="3" max="3" width="13.5703125" customWidth="1"/>
    <col min="4" max="4" width="14" customWidth="1"/>
    <col min="5" max="5" width="13.42578125" customWidth="1"/>
    <col min="6" max="6" width="12.7109375" customWidth="1"/>
    <col min="7" max="7" width="13" customWidth="1"/>
    <col min="8" max="8" width="2.42578125" customWidth="1"/>
    <col min="9" max="9" width="43.42578125" customWidth="1"/>
    <col min="10" max="10" width="2.1406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3.85546875" customWidth="1"/>
    <col min="24" max="24" width="11.42578125" customWidth="1"/>
  </cols>
  <sheetData>
    <row r="1" spans="1:24" ht="15.75" customHeight="1">
      <c r="A1" s="128" t="s">
        <v>122</v>
      </c>
      <c r="B1" s="129"/>
      <c r="C1" s="292"/>
      <c r="D1" s="129"/>
      <c r="E1" s="129"/>
      <c r="F1" s="129"/>
      <c r="G1" s="129"/>
      <c r="H1" s="129"/>
      <c r="I1" s="207"/>
      <c r="J1" s="129"/>
      <c r="K1" s="129"/>
      <c r="L1" s="130"/>
      <c r="M1" s="130"/>
      <c r="N1" s="129"/>
      <c r="O1" s="129"/>
      <c r="P1" s="129"/>
      <c r="Q1" s="129"/>
      <c r="R1" s="129"/>
      <c r="S1" s="129"/>
      <c r="T1" s="129"/>
      <c r="U1" s="129"/>
      <c r="V1" s="129"/>
      <c r="W1" s="129"/>
      <c r="X1" s="129"/>
    </row>
    <row r="2" spans="1:24" ht="15.75" customHeight="1">
      <c r="A2" s="128" t="s">
        <v>364</v>
      </c>
      <c r="B2" s="129"/>
      <c r="C2" s="292"/>
      <c r="D2" s="129"/>
      <c r="E2" s="129"/>
      <c r="F2" s="129"/>
      <c r="G2" s="129"/>
      <c r="H2" s="129"/>
      <c r="I2" s="207"/>
      <c r="J2" s="129"/>
      <c r="K2" s="129"/>
      <c r="L2" s="130"/>
      <c r="M2" s="129"/>
      <c r="N2" s="129"/>
      <c r="O2" s="129"/>
      <c r="P2" s="129"/>
      <c r="Q2" s="129"/>
      <c r="R2" s="129"/>
      <c r="S2" s="129"/>
      <c r="T2" s="129"/>
      <c r="U2" s="129"/>
      <c r="V2" s="129"/>
      <c r="W2" s="129"/>
      <c r="X2" s="129"/>
    </row>
    <row r="3" spans="1:24" ht="15.75" customHeight="1">
      <c r="A3" s="293"/>
      <c r="B3" s="294"/>
      <c r="C3" s="292"/>
      <c r="D3" s="129"/>
      <c r="E3" s="129"/>
      <c r="F3" s="129"/>
      <c r="G3" s="129"/>
      <c r="H3" s="129"/>
      <c r="I3" s="207"/>
      <c r="J3" s="129"/>
      <c r="K3" s="129"/>
      <c r="L3" s="130"/>
      <c r="M3" s="129"/>
      <c r="N3" s="129"/>
      <c r="O3" s="129"/>
      <c r="P3" s="129"/>
      <c r="Q3" s="129"/>
      <c r="R3" s="135"/>
      <c r="S3" s="135"/>
      <c r="T3" s="129"/>
      <c r="U3" s="129"/>
      <c r="V3" s="129"/>
      <c r="W3" s="160"/>
      <c r="X3" s="160"/>
    </row>
    <row r="4" spans="1:24" ht="41.25" customHeight="1">
      <c r="A4" s="128" t="s">
        <v>126</v>
      </c>
      <c r="B4" s="129"/>
      <c r="C4" s="137" t="s">
        <v>127</v>
      </c>
      <c r="D4" s="140" t="s">
        <v>128</v>
      </c>
      <c r="E4" s="140" t="s">
        <v>129</v>
      </c>
      <c r="F4" s="140" t="s">
        <v>130</v>
      </c>
      <c r="G4" s="140" t="s">
        <v>131</v>
      </c>
      <c r="H4" s="298"/>
      <c r="I4" s="299" t="s">
        <v>298</v>
      </c>
      <c r="J4" s="298"/>
      <c r="K4" s="142">
        <v>45474</v>
      </c>
      <c r="L4" s="142">
        <v>45505</v>
      </c>
      <c r="M4" s="142">
        <v>45536</v>
      </c>
      <c r="N4" s="142">
        <v>45566</v>
      </c>
      <c r="O4" s="142">
        <v>45597</v>
      </c>
      <c r="P4" s="142">
        <v>45627</v>
      </c>
      <c r="Q4" s="142">
        <v>45658</v>
      </c>
      <c r="R4" s="142">
        <v>45689</v>
      </c>
      <c r="S4" s="142">
        <v>45717</v>
      </c>
      <c r="T4" s="142">
        <v>45748</v>
      </c>
      <c r="U4" s="142">
        <v>45778</v>
      </c>
      <c r="V4" s="142">
        <v>45809</v>
      </c>
      <c r="W4" s="395"/>
      <c r="X4" s="202" t="s">
        <v>132</v>
      </c>
    </row>
    <row r="5" spans="1:24" ht="15.75" customHeight="1">
      <c r="A5" s="128"/>
      <c r="B5" s="129" t="s">
        <v>26</v>
      </c>
      <c r="C5" s="292">
        <v>0</v>
      </c>
      <c r="D5" s="210">
        <v>992.71</v>
      </c>
      <c r="E5" s="210">
        <v>1000</v>
      </c>
      <c r="F5" s="210">
        <v>4000</v>
      </c>
      <c r="G5" s="210">
        <f t="shared" ref="G5:G8" si="0">F5-C5</f>
        <v>4000</v>
      </c>
      <c r="H5" s="249"/>
      <c r="I5" s="210" t="s">
        <v>365</v>
      </c>
      <c r="J5" s="249"/>
      <c r="K5" s="214"/>
      <c r="L5" s="214"/>
      <c r="M5" s="214"/>
      <c r="N5" s="214">
        <v>0</v>
      </c>
      <c r="O5" s="214">
        <v>2000</v>
      </c>
      <c r="P5" s="214"/>
      <c r="Q5" s="214"/>
      <c r="R5" s="214">
        <v>0</v>
      </c>
      <c r="S5" s="214">
        <v>2000</v>
      </c>
      <c r="T5" s="214">
        <v>0</v>
      </c>
      <c r="U5" s="214"/>
      <c r="V5" s="214"/>
      <c r="W5" s="301"/>
      <c r="X5" s="214">
        <f t="shared" ref="X5:X7" si="1">SUM(K5:W5)</f>
        <v>4000</v>
      </c>
    </row>
    <row r="6" spans="1:24" ht="15.75" customHeight="1">
      <c r="A6" s="128"/>
      <c r="B6" s="129" t="s">
        <v>27</v>
      </c>
      <c r="C6" s="292">
        <v>5000</v>
      </c>
      <c r="D6" s="210">
        <v>3608.49</v>
      </c>
      <c r="E6" s="210"/>
      <c r="F6" s="210">
        <v>5000</v>
      </c>
      <c r="G6" s="210">
        <f t="shared" si="0"/>
        <v>0</v>
      </c>
      <c r="H6" s="249"/>
      <c r="I6" s="210"/>
      <c r="J6" s="249"/>
      <c r="K6" s="214"/>
      <c r="L6" s="214"/>
      <c r="M6" s="214">
        <v>715</v>
      </c>
      <c r="N6" s="214">
        <v>715</v>
      </c>
      <c r="O6" s="214">
        <v>715</v>
      </c>
      <c r="P6" s="214">
        <v>715</v>
      </c>
      <c r="Q6" s="214">
        <v>715</v>
      </c>
      <c r="R6" s="214">
        <v>715</v>
      </c>
      <c r="S6" s="214">
        <v>710</v>
      </c>
      <c r="T6" s="214"/>
      <c r="U6" s="214"/>
      <c r="V6" s="214"/>
      <c r="W6" s="301"/>
      <c r="X6" s="214">
        <f t="shared" si="1"/>
        <v>5000</v>
      </c>
    </row>
    <row r="7" spans="1:24" ht="15.75" customHeight="1">
      <c r="A7" s="128"/>
      <c r="B7" s="107" t="s">
        <v>366</v>
      </c>
      <c r="C7" s="292">
        <v>45000</v>
      </c>
      <c r="D7" s="210">
        <v>33200.060000000005</v>
      </c>
      <c r="E7" s="210">
        <v>40000</v>
      </c>
      <c r="F7" s="210">
        <v>80000</v>
      </c>
      <c r="G7" s="210">
        <f t="shared" si="0"/>
        <v>35000</v>
      </c>
      <c r="H7" s="249"/>
      <c r="I7" s="210" t="s">
        <v>367</v>
      </c>
      <c r="J7" s="249"/>
      <c r="K7" s="214"/>
      <c r="L7" s="214"/>
      <c r="M7" s="214"/>
      <c r="N7" s="214">
        <f t="shared" ref="N7:T7" si="2">$F$7/7</f>
        <v>11428.571428571429</v>
      </c>
      <c r="O7" s="214">
        <f t="shared" si="2"/>
        <v>11428.571428571429</v>
      </c>
      <c r="P7" s="214">
        <f t="shared" si="2"/>
        <v>11428.571428571429</v>
      </c>
      <c r="Q7" s="214">
        <f t="shared" si="2"/>
        <v>11428.571428571429</v>
      </c>
      <c r="R7" s="214">
        <f t="shared" si="2"/>
        <v>11428.571428571429</v>
      </c>
      <c r="S7" s="214">
        <f t="shared" si="2"/>
        <v>11428.571428571429</v>
      </c>
      <c r="T7" s="214">
        <f t="shared" si="2"/>
        <v>11428.571428571429</v>
      </c>
      <c r="U7" s="396"/>
      <c r="V7" s="396"/>
      <c r="W7" s="397"/>
      <c r="X7" s="214">
        <f t="shared" si="1"/>
        <v>80000.000000000015</v>
      </c>
    </row>
    <row r="8" spans="1:24" ht="15.75" customHeight="1">
      <c r="A8" s="128" t="s">
        <v>153</v>
      </c>
      <c r="B8" s="128"/>
      <c r="C8" s="335">
        <f t="shared" ref="C8:F8" si="3">SUM(C5:C7)</f>
        <v>50000</v>
      </c>
      <c r="D8" s="190">
        <f t="shared" si="3"/>
        <v>37801.26</v>
      </c>
      <c r="E8" s="190">
        <f t="shared" si="3"/>
        <v>41000</v>
      </c>
      <c r="F8" s="190">
        <f t="shared" si="3"/>
        <v>89000</v>
      </c>
      <c r="G8" s="190">
        <f t="shared" si="0"/>
        <v>39000</v>
      </c>
      <c r="H8" s="192"/>
      <c r="I8" s="229"/>
      <c r="J8" s="192"/>
      <c r="K8" s="398">
        <f t="shared" ref="K8:V8" si="4">SUM(K5:K7)</f>
        <v>0</v>
      </c>
      <c r="L8" s="398">
        <f t="shared" si="4"/>
        <v>0</v>
      </c>
      <c r="M8" s="398">
        <f t="shared" si="4"/>
        <v>715</v>
      </c>
      <c r="N8" s="398">
        <f t="shared" si="4"/>
        <v>12143.571428571429</v>
      </c>
      <c r="O8" s="398">
        <f t="shared" si="4"/>
        <v>14143.571428571429</v>
      </c>
      <c r="P8" s="398">
        <f t="shared" si="4"/>
        <v>12143.571428571429</v>
      </c>
      <c r="Q8" s="398">
        <f t="shared" si="4"/>
        <v>12143.571428571429</v>
      </c>
      <c r="R8" s="398">
        <f t="shared" si="4"/>
        <v>12143.571428571429</v>
      </c>
      <c r="S8" s="398">
        <f t="shared" si="4"/>
        <v>14138.571428571429</v>
      </c>
      <c r="T8" s="398">
        <f t="shared" si="4"/>
        <v>11428.571428571429</v>
      </c>
      <c r="U8" s="398">
        <f t="shared" si="4"/>
        <v>0</v>
      </c>
      <c r="V8" s="398">
        <f t="shared" si="4"/>
        <v>0</v>
      </c>
      <c r="W8" s="194"/>
      <c r="X8" s="398">
        <f>SUM(X5:X7)</f>
        <v>89000.000000000015</v>
      </c>
    </row>
    <row r="9" spans="1:24" ht="15.75" customHeight="1">
      <c r="A9" s="128"/>
      <c r="B9" s="129"/>
      <c r="C9" s="292"/>
      <c r="D9" s="135"/>
      <c r="E9" s="135"/>
      <c r="F9" s="135"/>
      <c r="G9" s="135"/>
      <c r="H9" s="135"/>
      <c r="I9" s="399"/>
      <c r="J9" s="135"/>
      <c r="K9" s="135"/>
      <c r="L9" s="130"/>
      <c r="M9" s="135"/>
      <c r="N9" s="135"/>
      <c r="O9" s="135"/>
      <c r="P9" s="135"/>
      <c r="Q9" s="135"/>
      <c r="R9" s="135"/>
      <c r="S9" s="135"/>
      <c r="T9" s="135"/>
      <c r="U9" s="135"/>
      <c r="V9" s="135"/>
      <c r="W9" s="295"/>
      <c r="X9" s="295"/>
    </row>
    <row r="10" spans="1:24" ht="42.75" customHeight="1">
      <c r="A10" s="128" t="s">
        <v>154</v>
      </c>
      <c r="B10" s="129"/>
      <c r="C10" s="137" t="s">
        <v>127</v>
      </c>
      <c r="D10" s="140" t="s">
        <v>128</v>
      </c>
      <c r="E10" s="140" t="s">
        <v>129</v>
      </c>
      <c r="F10" s="140" t="s">
        <v>130</v>
      </c>
      <c r="G10" s="140" t="s">
        <v>131</v>
      </c>
      <c r="H10" s="141"/>
      <c r="I10" s="299" t="s">
        <v>298</v>
      </c>
      <c r="J10" s="141"/>
      <c r="K10" s="142">
        <v>45474</v>
      </c>
      <c r="L10" s="142">
        <v>45505</v>
      </c>
      <c r="M10" s="142">
        <v>45536</v>
      </c>
      <c r="N10" s="142">
        <v>45566</v>
      </c>
      <c r="O10" s="142">
        <v>45597</v>
      </c>
      <c r="P10" s="142">
        <v>45627</v>
      </c>
      <c r="Q10" s="142">
        <v>45658</v>
      </c>
      <c r="R10" s="142">
        <v>45689</v>
      </c>
      <c r="S10" s="142">
        <v>45717</v>
      </c>
      <c r="T10" s="142">
        <v>45748</v>
      </c>
      <c r="U10" s="142">
        <v>45778</v>
      </c>
      <c r="V10" s="142">
        <v>45809</v>
      </c>
      <c r="W10" s="395"/>
      <c r="X10" s="202" t="s">
        <v>132</v>
      </c>
    </row>
    <row r="11" spans="1:24" ht="15.75" customHeight="1">
      <c r="A11" s="128"/>
      <c r="B11" s="128" t="s">
        <v>45</v>
      </c>
      <c r="C11" s="378">
        <v>40000</v>
      </c>
      <c r="D11" s="400">
        <v>22123.280000000002</v>
      </c>
      <c r="E11" s="314">
        <v>15000</v>
      </c>
      <c r="F11" s="314">
        <v>40000</v>
      </c>
      <c r="G11" s="314">
        <f t="shared" ref="G11:G47" si="5">F11-C11</f>
        <v>0</v>
      </c>
      <c r="H11" s="219"/>
      <c r="I11" s="313"/>
      <c r="J11" s="219"/>
      <c r="K11" s="401"/>
      <c r="L11" s="401">
        <f t="shared" ref="L11:U11" si="6">$F$11/10</f>
        <v>4000</v>
      </c>
      <c r="M11" s="401">
        <f t="shared" si="6"/>
        <v>4000</v>
      </c>
      <c r="N11" s="401">
        <f t="shared" si="6"/>
        <v>4000</v>
      </c>
      <c r="O11" s="401">
        <f t="shared" si="6"/>
        <v>4000</v>
      </c>
      <c r="P11" s="401">
        <f t="shared" si="6"/>
        <v>4000</v>
      </c>
      <c r="Q11" s="401">
        <f t="shared" si="6"/>
        <v>4000</v>
      </c>
      <c r="R11" s="401">
        <f t="shared" si="6"/>
        <v>4000</v>
      </c>
      <c r="S11" s="401">
        <f t="shared" si="6"/>
        <v>4000</v>
      </c>
      <c r="T11" s="401">
        <f t="shared" si="6"/>
        <v>4000</v>
      </c>
      <c r="U11" s="401">
        <f t="shared" si="6"/>
        <v>4000</v>
      </c>
      <c r="V11" s="401"/>
      <c r="W11" s="402"/>
      <c r="X11" s="401">
        <f>SUM(K11:V11)</f>
        <v>40000</v>
      </c>
    </row>
    <row r="12" spans="1:24" ht="15.75" customHeight="1">
      <c r="A12" s="128"/>
      <c r="B12" s="128" t="s">
        <v>368</v>
      </c>
      <c r="C12" s="216">
        <f t="shared" ref="C12:E12" si="7">SUM(C13:C18)</f>
        <v>35000</v>
      </c>
      <c r="D12" s="403">
        <f t="shared" si="7"/>
        <v>9907.7200000000012</v>
      </c>
      <c r="E12" s="403">
        <f t="shared" si="7"/>
        <v>54250</v>
      </c>
      <c r="F12" s="404">
        <f>SUM(F13:F16)</f>
        <v>90000</v>
      </c>
      <c r="G12" s="311">
        <f t="shared" si="5"/>
        <v>55000</v>
      </c>
      <c r="H12" s="219"/>
      <c r="I12" s="313"/>
      <c r="J12" s="219"/>
      <c r="K12" s="225">
        <f>SUM(K13:K18)</f>
        <v>0</v>
      </c>
      <c r="L12" s="225">
        <f t="shared" ref="L12:V12" si="8">SUM(L13:L16)</f>
        <v>1000</v>
      </c>
      <c r="M12" s="225">
        <f t="shared" si="8"/>
        <v>1000</v>
      </c>
      <c r="N12" s="225">
        <f t="shared" si="8"/>
        <v>2000</v>
      </c>
      <c r="O12" s="225">
        <f t="shared" si="8"/>
        <v>11000</v>
      </c>
      <c r="P12" s="225">
        <f t="shared" si="8"/>
        <v>22000</v>
      </c>
      <c r="Q12" s="225">
        <f t="shared" si="8"/>
        <v>21000</v>
      </c>
      <c r="R12" s="225">
        <f t="shared" si="8"/>
        <v>21000</v>
      </c>
      <c r="S12" s="225">
        <f t="shared" si="8"/>
        <v>10000</v>
      </c>
      <c r="T12" s="225">
        <f t="shared" si="8"/>
        <v>1000</v>
      </c>
      <c r="U12" s="225">
        <f t="shared" si="8"/>
        <v>0</v>
      </c>
      <c r="V12" s="225">
        <f t="shared" si="8"/>
        <v>0</v>
      </c>
      <c r="W12" s="405"/>
      <c r="X12" s="225">
        <f>SUM(X13:X16)</f>
        <v>90000</v>
      </c>
    </row>
    <row r="13" spans="1:24" ht="15.75" customHeight="1">
      <c r="A13" s="128"/>
      <c r="B13" s="129" t="s">
        <v>206</v>
      </c>
      <c r="C13" s="320">
        <v>5000</v>
      </c>
      <c r="D13" s="372">
        <f>3089.12-1092</f>
        <v>1997.12</v>
      </c>
      <c r="E13" s="67">
        <v>500</v>
      </c>
      <c r="F13" s="67">
        <v>5000</v>
      </c>
      <c r="G13" s="314">
        <f t="shared" si="5"/>
        <v>0</v>
      </c>
      <c r="H13" s="211"/>
      <c r="I13" s="390"/>
      <c r="J13" s="211"/>
      <c r="K13" s="212"/>
      <c r="L13" s="318"/>
      <c r="M13" s="318">
        <v>1000</v>
      </c>
      <c r="N13" s="319">
        <v>1000</v>
      </c>
      <c r="O13" s="319">
        <v>1000</v>
      </c>
      <c r="P13" s="319">
        <v>1000</v>
      </c>
      <c r="Q13" s="319">
        <v>1000</v>
      </c>
      <c r="R13" s="319"/>
      <c r="S13" s="319"/>
      <c r="T13" s="319"/>
      <c r="U13" s="319"/>
      <c r="V13" s="319"/>
      <c r="W13" s="406"/>
      <c r="X13" s="319">
        <f t="shared" ref="X13:X18" si="9">SUM(K13:V13)</f>
        <v>5000</v>
      </c>
    </row>
    <row r="14" spans="1:24" ht="15.75" customHeight="1">
      <c r="A14" s="128"/>
      <c r="B14" s="129" t="s">
        <v>207</v>
      </c>
      <c r="C14" s="320">
        <v>30000</v>
      </c>
      <c r="D14" s="372">
        <v>6818.6</v>
      </c>
      <c r="E14" s="67">
        <v>53750</v>
      </c>
      <c r="F14" s="67">
        <v>50000</v>
      </c>
      <c r="G14" s="314">
        <f t="shared" si="5"/>
        <v>20000</v>
      </c>
      <c r="H14" s="211"/>
      <c r="I14" s="390" t="s">
        <v>367</v>
      </c>
      <c r="J14" s="211"/>
      <c r="K14" s="212"/>
      <c r="L14" s="318"/>
      <c r="M14" s="318"/>
      <c r="N14" s="319"/>
      <c r="O14" s="319">
        <v>10000</v>
      </c>
      <c r="P14" s="319">
        <v>10000</v>
      </c>
      <c r="Q14" s="319">
        <v>10000</v>
      </c>
      <c r="R14" s="319">
        <v>10000</v>
      </c>
      <c r="S14" s="319">
        <v>10000</v>
      </c>
      <c r="T14" s="319"/>
      <c r="U14" s="319"/>
      <c r="V14" s="319"/>
      <c r="W14" s="406"/>
      <c r="X14" s="319">
        <f t="shared" si="9"/>
        <v>50000</v>
      </c>
    </row>
    <row r="15" spans="1:24" ht="15.75" customHeight="1">
      <c r="A15" s="128"/>
      <c r="B15" s="132" t="s">
        <v>208</v>
      </c>
      <c r="C15" s="320">
        <v>0</v>
      </c>
      <c r="D15" s="372">
        <f>366+411+315</f>
        <v>1092</v>
      </c>
      <c r="E15" s="351"/>
      <c r="F15" s="351">
        <v>30000</v>
      </c>
      <c r="G15" s="314">
        <f t="shared" si="5"/>
        <v>30000</v>
      </c>
      <c r="H15" s="211"/>
      <c r="I15" s="390"/>
      <c r="J15" s="211"/>
      <c r="K15" s="212"/>
      <c r="L15" s="212"/>
      <c r="M15" s="212"/>
      <c r="N15" s="381"/>
      <c r="O15" s="381"/>
      <c r="P15" s="381">
        <v>10000</v>
      </c>
      <c r="Q15" s="381">
        <v>10000</v>
      </c>
      <c r="R15" s="381">
        <v>10000</v>
      </c>
      <c r="S15" s="381"/>
      <c r="T15" s="381"/>
      <c r="U15" s="381"/>
      <c r="V15" s="319"/>
      <c r="W15" s="406"/>
      <c r="X15" s="319">
        <f t="shared" si="9"/>
        <v>30000</v>
      </c>
    </row>
    <row r="16" spans="1:24" ht="15.75" customHeight="1">
      <c r="A16" s="128"/>
      <c r="B16" s="132" t="s">
        <v>211</v>
      </c>
      <c r="C16" s="320">
        <f t="shared" ref="C16:F16" si="10">SUM(C17:C18)</f>
        <v>0</v>
      </c>
      <c r="D16" s="407">
        <f t="shared" si="10"/>
        <v>0</v>
      </c>
      <c r="E16" s="408">
        <f t="shared" si="10"/>
        <v>0</v>
      </c>
      <c r="F16" s="408">
        <f t="shared" si="10"/>
        <v>5000</v>
      </c>
      <c r="G16" s="367">
        <f t="shared" si="5"/>
        <v>5000</v>
      </c>
      <c r="H16" s="211"/>
      <c r="I16" s="390" t="s">
        <v>369</v>
      </c>
      <c r="J16" s="211"/>
      <c r="K16" s="242">
        <f t="shared" ref="K16:V16" si="11">SUM(K17:K18)</f>
        <v>0</v>
      </c>
      <c r="L16" s="242">
        <f t="shared" si="11"/>
        <v>1000</v>
      </c>
      <c r="M16" s="242">
        <f t="shared" si="11"/>
        <v>0</v>
      </c>
      <c r="N16" s="242">
        <f t="shared" si="11"/>
        <v>1000</v>
      </c>
      <c r="O16" s="242">
        <f t="shared" si="11"/>
        <v>0</v>
      </c>
      <c r="P16" s="242">
        <f t="shared" si="11"/>
        <v>1000</v>
      </c>
      <c r="Q16" s="242">
        <f t="shared" si="11"/>
        <v>0</v>
      </c>
      <c r="R16" s="242">
        <f t="shared" si="11"/>
        <v>1000</v>
      </c>
      <c r="S16" s="242">
        <f t="shared" si="11"/>
        <v>0</v>
      </c>
      <c r="T16" s="242">
        <f t="shared" si="11"/>
        <v>1000</v>
      </c>
      <c r="U16" s="242">
        <f t="shared" si="11"/>
        <v>0</v>
      </c>
      <c r="V16" s="242">
        <f t="shared" si="11"/>
        <v>0</v>
      </c>
      <c r="W16" s="406"/>
      <c r="X16" s="409">
        <f t="shared" si="9"/>
        <v>5000</v>
      </c>
    </row>
    <row r="17" spans="1:24" ht="15.75" customHeight="1">
      <c r="A17" s="128"/>
      <c r="B17" s="132" t="s">
        <v>370</v>
      </c>
      <c r="C17" s="320">
        <v>0</v>
      </c>
      <c r="D17" s="372">
        <v>0</v>
      </c>
      <c r="E17" s="351">
        <v>0</v>
      </c>
      <c r="F17" s="351">
        <v>2500</v>
      </c>
      <c r="G17" s="314">
        <f t="shared" si="5"/>
        <v>2500</v>
      </c>
      <c r="H17" s="211"/>
      <c r="I17" s="390"/>
      <c r="J17" s="211"/>
      <c r="K17" s="212"/>
      <c r="L17" s="212">
        <v>500</v>
      </c>
      <c r="M17" s="212"/>
      <c r="N17" s="381">
        <v>500</v>
      </c>
      <c r="O17" s="381"/>
      <c r="P17" s="381">
        <v>500</v>
      </c>
      <c r="Q17" s="381"/>
      <c r="R17" s="381">
        <v>500</v>
      </c>
      <c r="S17" s="381"/>
      <c r="T17" s="381">
        <v>500</v>
      </c>
      <c r="U17" s="381"/>
      <c r="V17" s="319"/>
      <c r="W17" s="406"/>
      <c r="X17" s="319">
        <f t="shared" si="9"/>
        <v>2500</v>
      </c>
    </row>
    <row r="18" spans="1:24" ht="15.75" customHeight="1">
      <c r="A18" s="128"/>
      <c r="B18" s="132" t="s">
        <v>371</v>
      </c>
      <c r="C18" s="320">
        <v>0</v>
      </c>
      <c r="D18" s="372">
        <v>0</v>
      </c>
      <c r="E18" s="351">
        <v>0</v>
      </c>
      <c r="F18" s="351">
        <v>2500</v>
      </c>
      <c r="G18" s="314">
        <f t="shared" si="5"/>
        <v>2500</v>
      </c>
      <c r="H18" s="211"/>
      <c r="I18" s="390"/>
      <c r="J18" s="211"/>
      <c r="K18" s="212"/>
      <c r="L18" s="212">
        <v>500</v>
      </c>
      <c r="M18" s="212"/>
      <c r="N18" s="381">
        <v>500</v>
      </c>
      <c r="O18" s="381"/>
      <c r="P18" s="381">
        <v>500</v>
      </c>
      <c r="Q18" s="381"/>
      <c r="R18" s="381">
        <v>500</v>
      </c>
      <c r="S18" s="381"/>
      <c r="T18" s="381">
        <v>500</v>
      </c>
      <c r="U18" s="381"/>
      <c r="V18" s="319"/>
      <c r="W18" s="406"/>
      <c r="X18" s="319">
        <f t="shared" si="9"/>
        <v>2500</v>
      </c>
    </row>
    <row r="19" spans="1:24" ht="15.75" customHeight="1">
      <c r="A19" s="128"/>
      <c r="B19" s="128" t="s">
        <v>372</v>
      </c>
      <c r="C19" s="384">
        <f t="shared" ref="C19:F19" si="12">SUM(C20:C21)</f>
        <v>77500</v>
      </c>
      <c r="D19" s="403">
        <f t="shared" si="12"/>
        <v>20730.21</v>
      </c>
      <c r="E19" s="403">
        <f t="shared" si="12"/>
        <v>33560</v>
      </c>
      <c r="F19" s="311">
        <f t="shared" si="12"/>
        <v>65450</v>
      </c>
      <c r="G19" s="311">
        <f t="shared" si="5"/>
        <v>-12050</v>
      </c>
      <c r="H19" s="219"/>
      <c r="I19" s="313"/>
      <c r="J19" s="219"/>
      <c r="K19" s="225">
        <f t="shared" ref="K19:V19" si="13">K20+K21</f>
        <v>6259.0909090909099</v>
      </c>
      <c r="L19" s="225">
        <f t="shared" si="13"/>
        <v>5859.0909090909099</v>
      </c>
      <c r="M19" s="225">
        <f t="shared" si="13"/>
        <v>5859.0909090909099</v>
      </c>
      <c r="N19" s="225">
        <f t="shared" si="13"/>
        <v>5859.0909090909099</v>
      </c>
      <c r="O19" s="225">
        <f t="shared" si="13"/>
        <v>6159.0909090909099</v>
      </c>
      <c r="P19" s="225">
        <f t="shared" si="13"/>
        <v>5859.0909090909099</v>
      </c>
      <c r="Q19" s="225">
        <f t="shared" si="13"/>
        <v>5859.0909090909099</v>
      </c>
      <c r="R19" s="225">
        <f t="shared" si="13"/>
        <v>5859.0909090909099</v>
      </c>
      <c r="S19" s="225">
        <f t="shared" si="13"/>
        <v>6159.0909090909099</v>
      </c>
      <c r="T19" s="225">
        <f t="shared" si="13"/>
        <v>5859.0909090909099</v>
      </c>
      <c r="U19" s="225">
        <f t="shared" si="13"/>
        <v>5859.0909090909099</v>
      </c>
      <c r="V19" s="225">
        <f t="shared" si="13"/>
        <v>0</v>
      </c>
      <c r="W19" s="405"/>
      <c r="X19" s="225">
        <f>X20+X21</f>
        <v>65450</v>
      </c>
    </row>
    <row r="20" spans="1:24" ht="15.75" customHeight="1">
      <c r="A20" s="128"/>
      <c r="B20" s="129" t="s">
        <v>175</v>
      </c>
      <c r="C20" s="320">
        <v>15000</v>
      </c>
      <c r="D20" s="372">
        <v>6094.2599999999993</v>
      </c>
      <c r="E20" s="67">
        <v>5000</v>
      </c>
      <c r="F20" s="67">
        <v>0</v>
      </c>
      <c r="G20" s="314">
        <f t="shared" si="5"/>
        <v>-15000</v>
      </c>
      <c r="H20" s="317"/>
      <c r="I20" s="316" t="s">
        <v>373</v>
      </c>
      <c r="J20" s="317"/>
      <c r="K20" s="318"/>
      <c r="L20" s="319"/>
      <c r="M20" s="319"/>
      <c r="N20" s="319"/>
      <c r="O20" s="319"/>
      <c r="P20" s="319"/>
      <c r="Q20" s="319"/>
      <c r="R20" s="319"/>
      <c r="S20" s="319"/>
      <c r="T20" s="319"/>
      <c r="U20" s="319"/>
      <c r="V20" s="319"/>
      <c r="W20" s="406"/>
      <c r="X20" s="319">
        <f>SUM(K20:V20)</f>
        <v>0</v>
      </c>
    </row>
    <row r="21" spans="1:24" ht="15.75" customHeight="1">
      <c r="A21" s="128"/>
      <c r="B21" s="132" t="s">
        <v>176</v>
      </c>
      <c r="C21" s="320">
        <f t="shared" ref="C21:F21" si="14">SUM(C22:C36)</f>
        <v>62500</v>
      </c>
      <c r="D21" s="407">
        <f t="shared" si="14"/>
        <v>14635.95</v>
      </c>
      <c r="E21" s="407">
        <f t="shared" si="14"/>
        <v>28560</v>
      </c>
      <c r="F21" s="407">
        <f t="shared" si="14"/>
        <v>65450</v>
      </c>
      <c r="G21" s="367">
        <f t="shared" si="5"/>
        <v>2950</v>
      </c>
      <c r="H21" s="211"/>
      <c r="I21" s="390"/>
      <c r="J21" s="211"/>
      <c r="K21" s="242">
        <f t="shared" ref="K21:V21" si="15">SUM(K22:K36)</f>
        <v>6259.0909090909099</v>
      </c>
      <c r="L21" s="242">
        <f t="shared" si="15"/>
        <v>5859.0909090909099</v>
      </c>
      <c r="M21" s="242">
        <f t="shared" si="15"/>
        <v>5859.0909090909099</v>
      </c>
      <c r="N21" s="242">
        <f t="shared" si="15"/>
        <v>5859.0909090909099</v>
      </c>
      <c r="O21" s="242">
        <f t="shared" si="15"/>
        <v>6159.0909090909099</v>
      </c>
      <c r="P21" s="242">
        <f t="shared" si="15"/>
        <v>5859.0909090909099</v>
      </c>
      <c r="Q21" s="242">
        <f t="shared" si="15"/>
        <v>5859.0909090909099</v>
      </c>
      <c r="R21" s="242">
        <f t="shared" si="15"/>
        <v>5859.0909090909099</v>
      </c>
      <c r="S21" s="242">
        <f t="shared" si="15"/>
        <v>6159.0909090909099</v>
      </c>
      <c r="T21" s="242">
        <f t="shared" si="15"/>
        <v>5859.0909090909099</v>
      </c>
      <c r="U21" s="242">
        <f t="shared" si="15"/>
        <v>5859.0909090909099</v>
      </c>
      <c r="V21" s="242">
        <f t="shared" si="15"/>
        <v>0</v>
      </c>
      <c r="W21" s="393"/>
      <c r="X21" s="242">
        <f>SUM(X22:X36)</f>
        <v>65450</v>
      </c>
    </row>
    <row r="22" spans="1:24" ht="15.75" customHeight="1">
      <c r="A22" s="128"/>
      <c r="B22" s="129" t="s">
        <v>189</v>
      </c>
      <c r="C22" s="320">
        <f t="shared" ref="C22:C29" si="16">7812.5-3000</f>
        <v>4812.5</v>
      </c>
      <c r="D22" s="372">
        <v>2823.5800000000004</v>
      </c>
      <c r="E22" s="351">
        <v>1989</v>
      </c>
      <c r="F22" s="351">
        <f>4812.5+15000</f>
        <v>19812.5</v>
      </c>
      <c r="G22" s="314">
        <f t="shared" si="5"/>
        <v>15000</v>
      </c>
      <c r="H22" s="211"/>
      <c r="I22" s="390" t="s">
        <v>374</v>
      </c>
      <c r="J22" s="211"/>
      <c r="K22" s="212">
        <f t="shared" ref="K22:U22" si="17">19812.5/11</f>
        <v>1801.1363636363637</v>
      </c>
      <c r="L22" s="212">
        <f t="shared" si="17"/>
        <v>1801.1363636363637</v>
      </c>
      <c r="M22" s="212">
        <f t="shared" si="17"/>
        <v>1801.1363636363637</v>
      </c>
      <c r="N22" s="212">
        <f t="shared" si="17"/>
        <v>1801.1363636363637</v>
      </c>
      <c r="O22" s="212">
        <f t="shared" si="17"/>
        <v>1801.1363636363637</v>
      </c>
      <c r="P22" s="212">
        <f t="shared" si="17"/>
        <v>1801.1363636363637</v>
      </c>
      <c r="Q22" s="212">
        <f t="shared" si="17"/>
        <v>1801.1363636363637</v>
      </c>
      <c r="R22" s="212">
        <f t="shared" si="17"/>
        <v>1801.1363636363637</v>
      </c>
      <c r="S22" s="212">
        <f t="shared" si="17"/>
        <v>1801.1363636363637</v>
      </c>
      <c r="T22" s="212">
        <f t="shared" si="17"/>
        <v>1801.1363636363637</v>
      </c>
      <c r="U22" s="212">
        <f t="shared" si="17"/>
        <v>1801.1363636363637</v>
      </c>
      <c r="V22" s="212"/>
      <c r="W22" s="393"/>
      <c r="X22" s="319">
        <f t="shared" ref="X22:X36" si="18">SUM(K22:V22)</f>
        <v>19812.5</v>
      </c>
    </row>
    <row r="23" spans="1:24" ht="15.75" customHeight="1">
      <c r="A23" s="128"/>
      <c r="B23" s="129" t="s">
        <v>190</v>
      </c>
      <c r="C23" s="320">
        <f t="shared" si="16"/>
        <v>4812.5</v>
      </c>
      <c r="D23" s="372">
        <v>1092.99</v>
      </c>
      <c r="E23" s="351">
        <v>3720</v>
      </c>
      <c r="F23" s="351">
        <v>4812.5</v>
      </c>
      <c r="G23" s="314">
        <f t="shared" si="5"/>
        <v>0</v>
      </c>
      <c r="H23" s="211"/>
      <c r="I23" s="390"/>
      <c r="J23" s="211"/>
      <c r="K23" s="212">
        <f t="shared" ref="K23:U23" si="19">4812.5/11</f>
        <v>437.5</v>
      </c>
      <c r="L23" s="212">
        <f t="shared" si="19"/>
        <v>437.5</v>
      </c>
      <c r="M23" s="212">
        <f t="shared" si="19"/>
        <v>437.5</v>
      </c>
      <c r="N23" s="212">
        <f t="shared" si="19"/>
        <v>437.5</v>
      </c>
      <c r="O23" s="212">
        <f t="shared" si="19"/>
        <v>437.5</v>
      </c>
      <c r="P23" s="212">
        <f t="shared" si="19"/>
        <v>437.5</v>
      </c>
      <c r="Q23" s="212">
        <f t="shared" si="19"/>
        <v>437.5</v>
      </c>
      <c r="R23" s="212">
        <f t="shared" si="19"/>
        <v>437.5</v>
      </c>
      <c r="S23" s="212">
        <f t="shared" si="19"/>
        <v>437.5</v>
      </c>
      <c r="T23" s="212">
        <f t="shared" si="19"/>
        <v>437.5</v>
      </c>
      <c r="U23" s="212">
        <f t="shared" si="19"/>
        <v>437.5</v>
      </c>
      <c r="V23" s="212"/>
      <c r="W23" s="393"/>
      <c r="X23" s="319">
        <f t="shared" si="18"/>
        <v>4812.5</v>
      </c>
    </row>
    <row r="24" spans="1:24" ht="15.75" customHeight="1">
      <c r="A24" s="128"/>
      <c r="B24" s="129" t="s">
        <v>191</v>
      </c>
      <c r="C24" s="320">
        <f t="shared" si="16"/>
        <v>4812.5</v>
      </c>
      <c r="D24" s="372">
        <v>124.63</v>
      </c>
      <c r="E24" s="351">
        <v>4688</v>
      </c>
      <c r="F24" s="351">
        <v>4812.5</v>
      </c>
      <c r="G24" s="314">
        <f t="shared" si="5"/>
        <v>0</v>
      </c>
      <c r="H24" s="211"/>
      <c r="I24" s="390"/>
      <c r="J24" s="211"/>
      <c r="K24" s="212">
        <f t="shared" ref="K24:U24" si="20">4812.5/11</f>
        <v>437.5</v>
      </c>
      <c r="L24" s="212">
        <f t="shared" si="20"/>
        <v>437.5</v>
      </c>
      <c r="M24" s="212">
        <f t="shared" si="20"/>
        <v>437.5</v>
      </c>
      <c r="N24" s="212">
        <f t="shared" si="20"/>
        <v>437.5</v>
      </c>
      <c r="O24" s="212">
        <f t="shared" si="20"/>
        <v>437.5</v>
      </c>
      <c r="P24" s="212">
        <f t="shared" si="20"/>
        <v>437.5</v>
      </c>
      <c r="Q24" s="212">
        <f t="shared" si="20"/>
        <v>437.5</v>
      </c>
      <c r="R24" s="212">
        <f t="shared" si="20"/>
        <v>437.5</v>
      </c>
      <c r="S24" s="212">
        <f t="shared" si="20"/>
        <v>437.5</v>
      </c>
      <c r="T24" s="212">
        <f t="shared" si="20"/>
        <v>437.5</v>
      </c>
      <c r="U24" s="212">
        <f t="shared" si="20"/>
        <v>437.5</v>
      </c>
      <c r="V24" s="212"/>
      <c r="W24" s="393"/>
      <c r="X24" s="319">
        <f t="shared" si="18"/>
        <v>4812.5</v>
      </c>
    </row>
    <row r="25" spans="1:24" ht="15.75" customHeight="1">
      <c r="A25" s="128"/>
      <c r="B25" s="129" t="s">
        <v>192</v>
      </c>
      <c r="C25" s="320">
        <f t="shared" si="16"/>
        <v>4812.5</v>
      </c>
      <c r="D25" s="372">
        <v>2936.65</v>
      </c>
      <c r="E25" s="351">
        <v>1876</v>
      </c>
      <c r="F25" s="351">
        <v>4812.5</v>
      </c>
      <c r="G25" s="314">
        <f t="shared" si="5"/>
        <v>0</v>
      </c>
      <c r="H25" s="211"/>
      <c r="I25" s="390"/>
      <c r="J25" s="211"/>
      <c r="K25" s="212">
        <f t="shared" ref="K25:U25" si="21">4812.5/11</f>
        <v>437.5</v>
      </c>
      <c r="L25" s="212">
        <f t="shared" si="21"/>
        <v>437.5</v>
      </c>
      <c r="M25" s="212">
        <f t="shared" si="21"/>
        <v>437.5</v>
      </c>
      <c r="N25" s="212">
        <f t="shared" si="21"/>
        <v>437.5</v>
      </c>
      <c r="O25" s="212">
        <f t="shared" si="21"/>
        <v>437.5</v>
      </c>
      <c r="P25" s="212">
        <f t="shared" si="21"/>
        <v>437.5</v>
      </c>
      <c r="Q25" s="212">
        <f t="shared" si="21"/>
        <v>437.5</v>
      </c>
      <c r="R25" s="212">
        <f t="shared" si="21"/>
        <v>437.5</v>
      </c>
      <c r="S25" s="212">
        <f t="shared" si="21"/>
        <v>437.5</v>
      </c>
      <c r="T25" s="212">
        <f t="shared" si="21"/>
        <v>437.5</v>
      </c>
      <c r="U25" s="212">
        <f t="shared" si="21"/>
        <v>437.5</v>
      </c>
      <c r="V25" s="212"/>
      <c r="W25" s="393"/>
      <c r="X25" s="319">
        <f t="shared" si="18"/>
        <v>4812.5</v>
      </c>
    </row>
    <row r="26" spans="1:24" ht="15.75" customHeight="1">
      <c r="A26" s="128"/>
      <c r="B26" s="129" t="s">
        <v>193</v>
      </c>
      <c r="C26" s="320">
        <f t="shared" si="16"/>
        <v>4812.5</v>
      </c>
      <c r="D26" s="372">
        <v>1357.65</v>
      </c>
      <c r="E26" s="351">
        <v>3455</v>
      </c>
      <c r="F26" s="351">
        <v>4812.5</v>
      </c>
      <c r="G26" s="314">
        <f t="shared" si="5"/>
        <v>0</v>
      </c>
      <c r="H26" s="211"/>
      <c r="I26" s="390"/>
      <c r="J26" s="211"/>
      <c r="K26" s="212">
        <f t="shared" ref="K26:U26" si="22">4812.5/11</f>
        <v>437.5</v>
      </c>
      <c r="L26" s="212">
        <f t="shared" si="22"/>
        <v>437.5</v>
      </c>
      <c r="M26" s="212">
        <f t="shared" si="22"/>
        <v>437.5</v>
      </c>
      <c r="N26" s="212">
        <f t="shared" si="22"/>
        <v>437.5</v>
      </c>
      <c r="O26" s="212">
        <f t="shared" si="22"/>
        <v>437.5</v>
      </c>
      <c r="P26" s="212">
        <f t="shared" si="22"/>
        <v>437.5</v>
      </c>
      <c r="Q26" s="212">
        <f t="shared" si="22"/>
        <v>437.5</v>
      </c>
      <c r="R26" s="212">
        <f t="shared" si="22"/>
        <v>437.5</v>
      </c>
      <c r="S26" s="212">
        <f t="shared" si="22"/>
        <v>437.5</v>
      </c>
      <c r="T26" s="212">
        <f t="shared" si="22"/>
        <v>437.5</v>
      </c>
      <c r="U26" s="212">
        <f t="shared" si="22"/>
        <v>437.5</v>
      </c>
      <c r="V26" s="212"/>
      <c r="W26" s="393"/>
      <c r="X26" s="319">
        <f t="shared" si="18"/>
        <v>4812.5</v>
      </c>
    </row>
    <row r="27" spans="1:24" ht="15.75" customHeight="1">
      <c r="A27" s="128"/>
      <c r="B27" s="129" t="s">
        <v>194</v>
      </c>
      <c r="C27" s="320">
        <f t="shared" si="16"/>
        <v>4812.5</v>
      </c>
      <c r="D27" s="372">
        <v>1322.1200000000001</v>
      </c>
      <c r="E27" s="351">
        <v>3490</v>
      </c>
      <c r="F27" s="351">
        <v>4812.5</v>
      </c>
      <c r="G27" s="314">
        <f t="shared" si="5"/>
        <v>0</v>
      </c>
      <c r="H27" s="211"/>
      <c r="I27" s="390"/>
      <c r="J27" s="211"/>
      <c r="K27" s="212">
        <f t="shared" ref="K27:U27" si="23">4812.5/11</f>
        <v>437.5</v>
      </c>
      <c r="L27" s="212">
        <f t="shared" si="23"/>
        <v>437.5</v>
      </c>
      <c r="M27" s="212">
        <f t="shared" si="23"/>
        <v>437.5</v>
      </c>
      <c r="N27" s="212">
        <f t="shared" si="23"/>
        <v>437.5</v>
      </c>
      <c r="O27" s="212">
        <f t="shared" si="23"/>
        <v>437.5</v>
      </c>
      <c r="P27" s="212">
        <f t="shared" si="23"/>
        <v>437.5</v>
      </c>
      <c r="Q27" s="212">
        <f t="shared" si="23"/>
        <v>437.5</v>
      </c>
      <c r="R27" s="212">
        <f t="shared" si="23"/>
        <v>437.5</v>
      </c>
      <c r="S27" s="212">
        <f t="shared" si="23"/>
        <v>437.5</v>
      </c>
      <c r="T27" s="212">
        <f t="shared" si="23"/>
        <v>437.5</v>
      </c>
      <c r="U27" s="212">
        <f t="shared" si="23"/>
        <v>437.5</v>
      </c>
      <c r="V27" s="212"/>
      <c r="W27" s="393"/>
      <c r="X27" s="319">
        <f t="shared" si="18"/>
        <v>4812.5</v>
      </c>
    </row>
    <row r="28" spans="1:24" ht="15.75" customHeight="1">
      <c r="A28" s="128"/>
      <c r="B28" s="129" t="s">
        <v>195</v>
      </c>
      <c r="C28" s="320">
        <f t="shared" si="16"/>
        <v>4812.5</v>
      </c>
      <c r="D28" s="372">
        <v>883.81</v>
      </c>
      <c r="E28" s="351">
        <v>3929</v>
      </c>
      <c r="F28" s="351">
        <v>4812.5</v>
      </c>
      <c r="G28" s="314">
        <f t="shared" si="5"/>
        <v>0</v>
      </c>
      <c r="H28" s="211"/>
      <c r="I28" s="390"/>
      <c r="J28" s="211"/>
      <c r="K28" s="212">
        <f t="shared" ref="K28:U28" si="24">4812.5/11</f>
        <v>437.5</v>
      </c>
      <c r="L28" s="212">
        <f t="shared" si="24"/>
        <v>437.5</v>
      </c>
      <c r="M28" s="212">
        <f t="shared" si="24"/>
        <v>437.5</v>
      </c>
      <c r="N28" s="212">
        <f t="shared" si="24"/>
        <v>437.5</v>
      </c>
      <c r="O28" s="212">
        <f t="shared" si="24"/>
        <v>437.5</v>
      </c>
      <c r="P28" s="212">
        <f t="shared" si="24"/>
        <v>437.5</v>
      </c>
      <c r="Q28" s="212">
        <f t="shared" si="24"/>
        <v>437.5</v>
      </c>
      <c r="R28" s="212">
        <f t="shared" si="24"/>
        <v>437.5</v>
      </c>
      <c r="S28" s="212">
        <f t="shared" si="24"/>
        <v>437.5</v>
      </c>
      <c r="T28" s="212">
        <f t="shared" si="24"/>
        <v>437.5</v>
      </c>
      <c r="U28" s="212">
        <f t="shared" si="24"/>
        <v>437.5</v>
      </c>
      <c r="V28" s="212"/>
      <c r="W28" s="393"/>
      <c r="X28" s="319">
        <f t="shared" si="18"/>
        <v>4812.5</v>
      </c>
    </row>
    <row r="29" spans="1:24" ht="15.75" customHeight="1">
      <c r="A29" s="128"/>
      <c r="B29" s="129" t="s">
        <v>196</v>
      </c>
      <c r="C29" s="320">
        <f t="shared" si="16"/>
        <v>4812.5</v>
      </c>
      <c r="D29" s="372">
        <v>1299.02</v>
      </c>
      <c r="E29" s="351">
        <v>3513</v>
      </c>
      <c r="F29" s="351">
        <v>4812.5</v>
      </c>
      <c r="G29" s="314">
        <f t="shared" si="5"/>
        <v>0</v>
      </c>
      <c r="H29" s="211"/>
      <c r="I29" s="390"/>
      <c r="J29" s="211"/>
      <c r="K29" s="212">
        <f t="shared" ref="K29:U29" si="25">4812.5/11</f>
        <v>437.5</v>
      </c>
      <c r="L29" s="212">
        <f t="shared" si="25"/>
        <v>437.5</v>
      </c>
      <c r="M29" s="212">
        <f t="shared" si="25"/>
        <v>437.5</v>
      </c>
      <c r="N29" s="212">
        <f t="shared" si="25"/>
        <v>437.5</v>
      </c>
      <c r="O29" s="212">
        <f t="shared" si="25"/>
        <v>437.5</v>
      </c>
      <c r="P29" s="212">
        <f t="shared" si="25"/>
        <v>437.5</v>
      </c>
      <c r="Q29" s="212">
        <f t="shared" si="25"/>
        <v>437.5</v>
      </c>
      <c r="R29" s="212">
        <f t="shared" si="25"/>
        <v>437.5</v>
      </c>
      <c r="S29" s="212">
        <f t="shared" si="25"/>
        <v>437.5</v>
      </c>
      <c r="T29" s="212">
        <f t="shared" si="25"/>
        <v>437.5</v>
      </c>
      <c r="U29" s="212">
        <f t="shared" si="25"/>
        <v>437.5</v>
      </c>
      <c r="V29" s="212"/>
      <c r="W29" s="393"/>
      <c r="X29" s="319">
        <f t="shared" si="18"/>
        <v>4812.5</v>
      </c>
    </row>
    <row r="30" spans="1:24" ht="15.75" customHeight="1">
      <c r="A30" s="129"/>
      <c r="B30" s="129" t="s">
        <v>197</v>
      </c>
      <c r="C30" s="320">
        <v>12000</v>
      </c>
      <c r="D30" s="372">
        <v>0</v>
      </c>
      <c r="E30" s="351">
        <v>850</v>
      </c>
      <c r="F30" s="351">
        <v>6550</v>
      </c>
      <c r="G30" s="314">
        <f t="shared" si="5"/>
        <v>-5450</v>
      </c>
      <c r="H30" s="211"/>
      <c r="I30" s="390" t="s">
        <v>375</v>
      </c>
      <c r="J30" s="211"/>
      <c r="K30" s="212">
        <f t="shared" ref="K30:U30" si="26">6550/11</f>
        <v>595.4545454545455</v>
      </c>
      <c r="L30" s="212">
        <f t="shared" si="26"/>
        <v>595.4545454545455</v>
      </c>
      <c r="M30" s="212">
        <f t="shared" si="26"/>
        <v>595.4545454545455</v>
      </c>
      <c r="N30" s="212">
        <f t="shared" si="26"/>
        <v>595.4545454545455</v>
      </c>
      <c r="O30" s="212">
        <f t="shared" si="26"/>
        <v>595.4545454545455</v>
      </c>
      <c r="P30" s="212">
        <f t="shared" si="26"/>
        <v>595.4545454545455</v>
      </c>
      <c r="Q30" s="212">
        <f t="shared" si="26"/>
        <v>595.4545454545455</v>
      </c>
      <c r="R30" s="212">
        <f t="shared" si="26"/>
        <v>595.4545454545455</v>
      </c>
      <c r="S30" s="212">
        <f t="shared" si="26"/>
        <v>595.4545454545455</v>
      </c>
      <c r="T30" s="212">
        <f t="shared" si="26"/>
        <v>595.4545454545455</v>
      </c>
      <c r="U30" s="212">
        <f t="shared" si="26"/>
        <v>595.4545454545455</v>
      </c>
      <c r="V30" s="212"/>
      <c r="W30" s="393"/>
      <c r="X30" s="319">
        <f t="shared" si="18"/>
        <v>6550.0000000000018</v>
      </c>
    </row>
    <row r="31" spans="1:24" ht="15.75" customHeight="1">
      <c r="A31" s="129"/>
      <c r="B31" s="129" t="s">
        <v>198</v>
      </c>
      <c r="C31" s="320">
        <v>4000</v>
      </c>
      <c r="D31" s="372">
        <v>0</v>
      </c>
      <c r="E31" s="351">
        <v>1000</v>
      </c>
      <c r="F31" s="351">
        <v>2900</v>
      </c>
      <c r="G31" s="314">
        <f t="shared" si="5"/>
        <v>-1100</v>
      </c>
      <c r="H31" s="211"/>
      <c r="I31" s="390"/>
      <c r="J31" s="211"/>
      <c r="K31" s="212">
        <f t="shared" ref="K31:U31" si="27">2900/11</f>
        <v>263.63636363636363</v>
      </c>
      <c r="L31" s="212">
        <f t="shared" si="27"/>
        <v>263.63636363636363</v>
      </c>
      <c r="M31" s="212">
        <f t="shared" si="27"/>
        <v>263.63636363636363</v>
      </c>
      <c r="N31" s="212">
        <f t="shared" si="27"/>
        <v>263.63636363636363</v>
      </c>
      <c r="O31" s="212">
        <f t="shared" si="27"/>
        <v>263.63636363636363</v>
      </c>
      <c r="P31" s="212">
        <f t="shared" si="27"/>
        <v>263.63636363636363</v>
      </c>
      <c r="Q31" s="212">
        <f t="shared" si="27"/>
        <v>263.63636363636363</v>
      </c>
      <c r="R31" s="212">
        <f t="shared" si="27"/>
        <v>263.63636363636363</v>
      </c>
      <c r="S31" s="212">
        <f t="shared" si="27"/>
        <v>263.63636363636363</v>
      </c>
      <c r="T31" s="212">
        <f t="shared" si="27"/>
        <v>263.63636363636363</v>
      </c>
      <c r="U31" s="212">
        <f t="shared" si="27"/>
        <v>263.63636363636363</v>
      </c>
      <c r="V31" s="212"/>
      <c r="W31" s="393"/>
      <c r="X31" s="319">
        <f t="shared" si="18"/>
        <v>2899.9999999999991</v>
      </c>
    </row>
    <row r="32" spans="1:24" ht="15.75" customHeight="1">
      <c r="A32" s="129"/>
      <c r="B32" s="129" t="s">
        <v>199</v>
      </c>
      <c r="C32" s="320">
        <v>4000</v>
      </c>
      <c r="D32" s="372">
        <v>42.98</v>
      </c>
      <c r="E32" s="351">
        <v>0</v>
      </c>
      <c r="F32" s="351">
        <v>0</v>
      </c>
      <c r="G32" s="314">
        <f t="shared" si="5"/>
        <v>-4000</v>
      </c>
      <c r="H32" s="211"/>
      <c r="I32" s="390" t="s">
        <v>376</v>
      </c>
      <c r="J32" s="211"/>
      <c r="K32" s="212"/>
      <c r="L32" s="212"/>
      <c r="M32" s="212"/>
      <c r="N32" s="212"/>
      <c r="O32" s="212"/>
      <c r="P32" s="212"/>
      <c r="Q32" s="212"/>
      <c r="R32" s="212"/>
      <c r="S32" s="212"/>
      <c r="T32" s="212"/>
      <c r="U32" s="212"/>
      <c r="V32" s="212"/>
      <c r="W32" s="393"/>
      <c r="X32" s="319">
        <f t="shared" si="18"/>
        <v>0</v>
      </c>
    </row>
    <row r="33" spans="1:24" ht="15.75" customHeight="1">
      <c r="A33" s="129"/>
      <c r="B33" s="129" t="s">
        <v>200</v>
      </c>
      <c r="C33" s="320">
        <v>0</v>
      </c>
      <c r="D33" s="372">
        <v>0</v>
      </c>
      <c r="E33" s="351">
        <v>0</v>
      </c>
      <c r="F33" s="351">
        <v>500</v>
      </c>
      <c r="G33" s="314">
        <f t="shared" si="5"/>
        <v>500</v>
      </c>
      <c r="H33" s="211"/>
      <c r="I33" s="390"/>
      <c r="J33" s="211"/>
      <c r="K33" s="212">
        <v>200</v>
      </c>
      <c r="L33" s="212"/>
      <c r="M33" s="212"/>
      <c r="N33" s="212"/>
      <c r="O33" s="212">
        <v>150</v>
      </c>
      <c r="P33" s="212"/>
      <c r="Q33" s="212"/>
      <c r="R33" s="212"/>
      <c r="S33" s="212">
        <v>150</v>
      </c>
      <c r="T33" s="212">
        <v>0</v>
      </c>
      <c r="U33" s="212"/>
      <c r="V33" s="212"/>
      <c r="W33" s="393"/>
      <c r="X33" s="319">
        <f t="shared" si="18"/>
        <v>500</v>
      </c>
    </row>
    <row r="34" spans="1:24" ht="15.75" customHeight="1">
      <c r="A34" s="129"/>
      <c r="B34" s="129" t="s">
        <v>166</v>
      </c>
      <c r="C34" s="320">
        <v>0</v>
      </c>
      <c r="D34" s="372">
        <v>197.7</v>
      </c>
      <c r="E34" s="351"/>
      <c r="F34" s="351">
        <v>500</v>
      </c>
      <c r="G34" s="314">
        <f t="shared" si="5"/>
        <v>500</v>
      </c>
      <c r="H34" s="211"/>
      <c r="I34" s="390"/>
      <c r="J34" s="211"/>
      <c r="K34" s="212">
        <v>200</v>
      </c>
      <c r="L34" s="212"/>
      <c r="M34" s="212"/>
      <c r="N34" s="212"/>
      <c r="O34" s="212">
        <v>150</v>
      </c>
      <c r="P34" s="212"/>
      <c r="Q34" s="212"/>
      <c r="R34" s="212"/>
      <c r="S34" s="212">
        <v>150</v>
      </c>
      <c r="T34" s="212"/>
      <c r="U34" s="212"/>
      <c r="V34" s="212"/>
      <c r="W34" s="393"/>
      <c r="X34" s="319">
        <f t="shared" si="18"/>
        <v>500</v>
      </c>
    </row>
    <row r="35" spans="1:24" ht="15.75" customHeight="1">
      <c r="A35" s="129"/>
      <c r="B35" s="129" t="s">
        <v>377</v>
      </c>
      <c r="C35" s="320">
        <v>4000</v>
      </c>
      <c r="D35" s="372">
        <v>0</v>
      </c>
      <c r="E35" s="67">
        <v>50</v>
      </c>
      <c r="F35" s="67">
        <v>1500</v>
      </c>
      <c r="G35" s="314">
        <f t="shared" si="5"/>
        <v>-2500</v>
      </c>
      <c r="H35" s="211"/>
      <c r="I35" s="390"/>
      <c r="J35" s="211"/>
      <c r="K35" s="212">
        <f t="shared" ref="K35:U35" si="28">1500/11</f>
        <v>136.36363636363637</v>
      </c>
      <c r="L35" s="212">
        <f t="shared" si="28"/>
        <v>136.36363636363637</v>
      </c>
      <c r="M35" s="212">
        <f t="shared" si="28"/>
        <v>136.36363636363637</v>
      </c>
      <c r="N35" s="212">
        <f t="shared" si="28"/>
        <v>136.36363636363637</v>
      </c>
      <c r="O35" s="212">
        <f t="shared" si="28"/>
        <v>136.36363636363637</v>
      </c>
      <c r="P35" s="212">
        <f t="shared" si="28"/>
        <v>136.36363636363637</v>
      </c>
      <c r="Q35" s="212">
        <f t="shared" si="28"/>
        <v>136.36363636363637</v>
      </c>
      <c r="R35" s="212">
        <f t="shared" si="28"/>
        <v>136.36363636363637</v>
      </c>
      <c r="S35" s="212">
        <f t="shared" si="28"/>
        <v>136.36363636363637</v>
      </c>
      <c r="T35" s="212">
        <f t="shared" si="28"/>
        <v>136.36363636363637</v>
      </c>
      <c r="U35" s="212">
        <f t="shared" si="28"/>
        <v>136.36363636363637</v>
      </c>
      <c r="V35" s="212"/>
      <c r="W35" s="393"/>
      <c r="X35" s="319">
        <f t="shared" si="18"/>
        <v>1500.0000000000005</v>
      </c>
    </row>
    <row r="36" spans="1:24" ht="15.75" customHeight="1">
      <c r="A36" s="128"/>
      <c r="B36" s="129" t="s">
        <v>378</v>
      </c>
      <c r="C36" s="320">
        <v>0</v>
      </c>
      <c r="D36" s="372">
        <v>2554.8200000000002</v>
      </c>
      <c r="E36" s="351"/>
      <c r="F36" s="351"/>
      <c r="G36" s="314">
        <f t="shared" si="5"/>
        <v>0</v>
      </c>
      <c r="H36" s="211"/>
      <c r="I36" s="390"/>
      <c r="J36" s="211"/>
      <c r="K36" s="212"/>
      <c r="L36" s="212"/>
      <c r="M36" s="212"/>
      <c r="N36" s="212"/>
      <c r="O36" s="212"/>
      <c r="P36" s="212"/>
      <c r="Q36" s="212"/>
      <c r="R36" s="212"/>
      <c r="S36" s="212"/>
      <c r="T36" s="212"/>
      <c r="U36" s="212"/>
      <c r="V36" s="212"/>
      <c r="W36" s="393"/>
      <c r="X36" s="319">
        <f t="shared" si="18"/>
        <v>0</v>
      </c>
    </row>
    <row r="37" spans="1:24" ht="15.75" customHeight="1">
      <c r="A37" s="128"/>
      <c r="B37" s="128" t="s">
        <v>299</v>
      </c>
      <c r="C37" s="384">
        <f t="shared" ref="C37:F37" si="29">SUM(C38:C44)</f>
        <v>28000</v>
      </c>
      <c r="D37" s="403">
        <f t="shared" si="29"/>
        <v>6766.96</v>
      </c>
      <c r="E37" s="403">
        <f t="shared" si="29"/>
        <v>17753</v>
      </c>
      <c r="F37" s="311">
        <f t="shared" si="29"/>
        <v>32500</v>
      </c>
      <c r="G37" s="311">
        <f t="shared" si="5"/>
        <v>4500</v>
      </c>
      <c r="H37" s="219"/>
      <c r="I37" s="314"/>
      <c r="J37" s="219"/>
      <c r="K37" s="225">
        <f t="shared" ref="K37:V37" si="30">SUM(K38:K44)</f>
        <v>1000</v>
      </c>
      <c r="L37" s="225">
        <f t="shared" si="30"/>
        <v>1100</v>
      </c>
      <c r="M37" s="225">
        <f t="shared" si="30"/>
        <v>1100</v>
      </c>
      <c r="N37" s="225">
        <f t="shared" si="30"/>
        <v>10100</v>
      </c>
      <c r="O37" s="225">
        <f t="shared" si="30"/>
        <v>1100</v>
      </c>
      <c r="P37" s="225">
        <f t="shared" si="30"/>
        <v>3300</v>
      </c>
      <c r="Q37" s="225">
        <f t="shared" si="30"/>
        <v>1600</v>
      </c>
      <c r="R37" s="225">
        <f t="shared" si="30"/>
        <v>9600</v>
      </c>
      <c r="S37" s="225">
        <f t="shared" si="30"/>
        <v>1100</v>
      </c>
      <c r="T37" s="225">
        <f t="shared" si="30"/>
        <v>1600</v>
      </c>
      <c r="U37" s="225">
        <f t="shared" si="30"/>
        <v>900</v>
      </c>
      <c r="V37" s="225">
        <f t="shared" si="30"/>
        <v>0</v>
      </c>
      <c r="W37" s="405"/>
      <c r="X37" s="225">
        <f>SUM(X38:X44)</f>
        <v>32500</v>
      </c>
    </row>
    <row r="38" spans="1:24" ht="15.75" customHeight="1">
      <c r="A38" s="128"/>
      <c r="B38" s="132" t="s">
        <v>379</v>
      </c>
      <c r="C38" s="320">
        <v>20000</v>
      </c>
      <c r="D38" s="372">
        <v>0</v>
      </c>
      <c r="E38" s="67">
        <f>4200+10553</f>
        <v>14753</v>
      </c>
      <c r="F38" s="67">
        <v>17000</v>
      </c>
      <c r="G38" s="314">
        <f t="shared" si="5"/>
        <v>-3000</v>
      </c>
      <c r="H38" s="211"/>
      <c r="I38" s="410" t="s">
        <v>380</v>
      </c>
      <c r="J38" s="211"/>
      <c r="K38" s="212"/>
      <c r="L38" s="212"/>
      <c r="M38" s="212"/>
      <c r="N38" s="212">
        <v>8500</v>
      </c>
      <c r="O38" s="212"/>
      <c r="P38" s="212"/>
      <c r="Q38" s="212"/>
      <c r="R38" s="212">
        <v>8500</v>
      </c>
      <c r="S38" s="212"/>
      <c r="T38" s="212"/>
      <c r="U38" s="212"/>
      <c r="V38" s="212"/>
      <c r="W38" s="393"/>
      <c r="X38" s="319">
        <f t="shared" ref="X38:X44" si="31">SUM(K38:V38)</f>
        <v>17000</v>
      </c>
    </row>
    <row r="39" spans="1:24" ht="24.75" customHeight="1">
      <c r="A39" s="128"/>
      <c r="B39" s="132" t="s">
        <v>381</v>
      </c>
      <c r="C39" s="320">
        <v>0</v>
      </c>
      <c r="D39" s="372">
        <v>0</v>
      </c>
      <c r="E39" s="411">
        <v>0</v>
      </c>
      <c r="F39" s="67">
        <v>7000</v>
      </c>
      <c r="G39" s="314">
        <f t="shared" si="5"/>
        <v>7000</v>
      </c>
      <c r="H39" s="211"/>
      <c r="I39" s="412" t="s">
        <v>382</v>
      </c>
      <c r="J39" s="211"/>
      <c r="K39" s="212"/>
      <c r="L39" s="212">
        <f t="shared" ref="L39:U39" si="32">$F$39/10</f>
        <v>700</v>
      </c>
      <c r="M39" s="212">
        <f t="shared" si="32"/>
        <v>700</v>
      </c>
      <c r="N39" s="212">
        <f t="shared" si="32"/>
        <v>700</v>
      </c>
      <c r="O39" s="212">
        <f t="shared" si="32"/>
        <v>700</v>
      </c>
      <c r="P39" s="212">
        <f t="shared" si="32"/>
        <v>700</v>
      </c>
      <c r="Q39" s="212">
        <f t="shared" si="32"/>
        <v>700</v>
      </c>
      <c r="R39" s="212">
        <f t="shared" si="32"/>
        <v>700</v>
      </c>
      <c r="S39" s="212">
        <f t="shared" si="32"/>
        <v>700</v>
      </c>
      <c r="T39" s="212">
        <f t="shared" si="32"/>
        <v>700</v>
      </c>
      <c r="U39" s="212">
        <f t="shared" si="32"/>
        <v>700</v>
      </c>
      <c r="V39" s="212">
        <v>0</v>
      </c>
      <c r="W39" s="393"/>
      <c r="X39" s="319">
        <f t="shared" si="31"/>
        <v>7000</v>
      </c>
    </row>
    <row r="40" spans="1:24" ht="15.75" customHeight="1">
      <c r="A40" s="128"/>
      <c r="B40" s="132" t="s">
        <v>383</v>
      </c>
      <c r="C40" s="320">
        <v>0</v>
      </c>
      <c r="D40" s="372">
        <v>304.75</v>
      </c>
      <c r="E40" s="411"/>
      <c r="F40" s="67">
        <v>0</v>
      </c>
      <c r="G40" s="314">
        <f t="shared" si="5"/>
        <v>0</v>
      </c>
      <c r="H40" s="211"/>
      <c r="I40" s="351"/>
      <c r="J40" s="211"/>
      <c r="K40" s="212"/>
      <c r="L40" s="212"/>
      <c r="M40" s="212"/>
      <c r="N40" s="212"/>
      <c r="O40" s="212"/>
      <c r="P40" s="212"/>
      <c r="Q40" s="212"/>
      <c r="R40" s="212"/>
      <c r="S40" s="212"/>
      <c r="T40" s="212"/>
      <c r="U40" s="212"/>
      <c r="V40" s="212"/>
      <c r="W40" s="393"/>
      <c r="X40" s="319">
        <f t="shared" si="31"/>
        <v>0</v>
      </c>
    </row>
    <row r="41" spans="1:24" ht="26.25" customHeight="1">
      <c r="A41" s="128"/>
      <c r="B41" s="103" t="s">
        <v>384</v>
      </c>
      <c r="C41" s="320">
        <v>0</v>
      </c>
      <c r="D41" s="372">
        <v>3822.91</v>
      </c>
      <c r="E41" s="372">
        <v>1000</v>
      </c>
      <c r="F41" s="372">
        <v>5000</v>
      </c>
      <c r="G41" s="314">
        <f t="shared" si="5"/>
        <v>5000</v>
      </c>
      <c r="H41" s="211"/>
      <c r="I41" s="351"/>
      <c r="J41" s="211"/>
      <c r="K41" s="212"/>
      <c r="L41" s="212">
        <v>300</v>
      </c>
      <c r="M41" s="212">
        <v>300</v>
      </c>
      <c r="N41" s="212">
        <v>300</v>
      </c>
      <c r="O41" s="212">
        <v>300</v>
      </c>
      <c r="P41" s="212">
        <v>2500</v>
      </c>
      <c r="Q41" s="212">
        <v>300</v>
      </c>
      <c r="R41" s="212">
        <v>300</v>
      </c>
      <c r="S41" s="212">
        <v>300</v>
      </c>
      <c r="T41" s="212">
        <v>300</v>
      </c>
      <c r="U41" s="212">
        <v>100</v>
      </c>
      <c r="V41" s="212"/>
      <c r="W41" s="393"/>
      <c r="X41" s="319">
        <f t="shared" si="31"/>
        <v>5000</v>
      </c>
    </row>
    <row r="42" spans="1:24" ht="15.75" customHeight="1">
      <c r="A42" s="128"/>
      <c r="B42" s="132" t="s">
        <v>385</v>
      </c>
      <c r="C42" s="320">
        <v>5000</v>
      </c>
      <c r="D42" s="372">
        <v>1013.1600000000001</v>
      </c>
      <c r="E42" s="67">
        <v>1000</v>
      </c>
      <c r="F42" s="67">
        <v>2000</v>
      </c>
      <c r="G42" s="314">
        <f t="shared" si="5"/>
        <v>-3000</v>
      </c>
      <c r="H42" s="211"/>
      <c r="I42" s="351"/>
      <c r="J42" s="211"/>
      <c r="K42" s="212">
        <v>500</v>
      </c>
      <c r="L42" s="212"/>
      <c r="M42" s="212"/>
      <c r="N42" s="212">
        <v>500</v>
      </c>
      <c r="O42" s="212"/>
      <c r="P42" s="212"/>
      <c r="Q42" s="212">
        <v>500</v>
      </c>
      <c r="R42" s="212"/>
      <c r="S42" s="212"/>
      <c r="T42" s="212">
        <v>500</v>
      </c>
      <c r="U42" s="212"/>
      <c r="V42" s="212"/>
      <c r="W42" s="393"/>
      <c r="X42" s="319">
        <f t="shared" si="31"/>
        <v>2000</v>
      </c>
    </row>
    <row r="43" spans="1:24" ht="15.75" customHeight="1">
      <c r="A43" s="128"/>
      <c r="B43" s="132" t="s">
        <v>272</v>
      </c>
      <c r="C43" s="320">
        <v>0</v>
      </c>
      <c r="D43" s="372">
        <v>499.06</v>
      </c>
      <c r="E43" s="67">
        <v>500</v>
      </c>
      <c r="F43" s="67">
        <v>0</v>
      </c>
      <c r="G43" s="314">
        <f t="shared" si="5"/>
        <v>0</v>
      </c>
      <c r="H43" s="211"/>
      <c r="I43" s="351"/>
      <c r="J43" s="211"/>
      <c r="K43" s="212"/>
      <c r="L43" s="212">
        <v>0</v>
      </c>
      <c r="M43" s="212">
        <v>0</v>
      </c>
      <c r="N43" s="212">
        <v>0</v>
      </c>
      <c r="O43" s="212">
        <v>0</v>
      </c>
      <c r="P43" s="212">
        <v>0</v>
      </c>
      <c r="Q43" s="212">
        <v>0</v>
      </c>
      <c r="R43" s="212">
        <v>0</v>
      </c>
      <c r="S43" s="212">
        <v>0</v>
      </c>
      <c r="T43" s="212">
        <v>0</v>
      </c>
      <c r="U43" s="212">
        <v>0</v>
      </c>
      <c r="V43" s="212"/>
      <c r="W43" s="393"/>
      <c r="X43" s="319">
        <f t="shared" si="31"/>
        <v>0</v>
      </c>
    </row>
    <row r="44" spans="1:24" ht="15.75" customHeight="1">
      <c r="A44" s="128"/>
      <c r="B44" s="132" t="s">
        <v>262</v>
      </c>
      <c r="C44" s="320">
        <v>3000</v>
      </c>
      <c r="D44" s="372">
        <v>1127.08</v>
      </c>
      <c r="E44" s="67">
        <v>500</v>
      </c>
      <c r="F44" s="67">
        <v>1500</v>
      </c>
      <c r="G44" s="314">
        <f t="shared" si="5"/>
        <v>-1500</v>
      </c>
      <c r="H44" s="211"/>
      <c r="I44" s="351"/>
      <c r="J44" s="211"/>
      <c r="K44" s="212">
        <v>500</v>
      </c>
      <c r="L44" s="212">
        <v>100</v>
      </c>
      <c r="M44" s="212">
        <v>100</v>
      </c>
      <c r="N44" s="212">
        <v>100</v>
      </c>
      <c r="O44" s="212">
        <v>100</v>
      </c>
      <c r="P44" s="212">
        <v>100</v>
      </c>
      <c r="Q44" s="212">
        <v>100</v>
      </c>
      <c r="R44" s="212">
        <v>100</v>
      </c>
      <c r="S44" s="212">
        <v>100</v>
      </c>
      <c r="T44" s="212">
        <v>100</v>
      </c>
      <c r="U44" s="212">
        <v>100</v>
      </c>
      <c r="V44" s="212"/>
      <c r="W44" s="393"/>
      <c r="X44" s="319">
        <f t="shared" si="31"/>
        <v>1500</v>
      </c>
    </row>
    <row r="45" spans="1:24" ht="15.75" customHeight="1">
      <c r="A45" s="128"/>
      <c r="B45" s="128" t="s">
        <v>279</v>
      </c>
      <c r="C45" s="384">
        <f t="shared" ref="C45:F45" si="33">C46</f>
        <v>5000</v>
      </c>
      <c r="D45" s="403">
        <f t="shared" si="33"/>
        <v>0</v>
      </c>
      <c r="E45" s="403">
        <f t="shared" si="33"/>
        <v>0</v>
      </c>
      <c r="F45" s="403">
        <f t="shared" si="33"/>
        <v>0</v>
      </c>
      <c r="G45" s="311">
        <f t="shared" si="5"/>
        <v>-5000</v>
      </c>
      <c r="H45" s="413"/>
      <c r="I45" s="414"/>
      <c r="J45" s="413"/>
      <c r="K45" s="415">
        <v>0</v>
      </c>
      <c r="L45" s="225">
        <v>0</v>
      </c>
      <c r="M45" s="225">
        <f t="shared" ref="M45:V45" si="34">M46</f>
        <v>0</v>
      </c>
      <c r="N45" s="225">
        <f t="shared" si="34"/>
        <v>0</v>
      </c>
      <c r="O45" s="225">
        <f t="shared" si="34"/>
        <v>0</v>
      </c>
      <c r="P45" s="225">
        <f t="shared" si="34"/>
        <v>0</v>
      </c>
      <c r="Q45" s="225">
        <f t="shared" si="34"/>
        <v>0</v>
      </c>
      <c r="R45" s="225">
        <f t="shared" si="34"/>
        <v>0</v>
      </c>
      <c r="S45" s="225">
        <f t="shared" si="34"/>
        <v>0</v>
      </c>
      <c r="T45" s="225">
        <f t="shared" si="34"/>
        <v>0</v>
      </c>
      <c r="U45" s="225">
        <f t="shared" si="34"/>
        <v>0</v>
      </c>
      <c r="V45" s="225">
        <f t="shared" si="34"/>
        <v>0</v>
      </c>
      <c r="W45" s="405"/>
      <c r="X45" s="225">
        <f>X46</f>
        <v>0</v>
      </c>
    </row>
    <row r="46" spans="1:24" ht="15.75" customHeight="1">
      <c r="A46" s="129"/>
      <c r="B46" s="129" t="s">
        <v>355</v>
      </c>
      <c r="C46" s="320">
        <v>5000</v>
      </c>
      <c r="D46" s="372">
        <v>0</v>
      </c>
      <c r="E46" s="416">
        <v>0</v>
      </c>
      <c r="F46" s="416">
        <v>0</v>
      </c>
      <c r="G46" s="314">
        <f t="shared" si="5"/>
        <v>-5000</v>
      </c>
      <c r="H46" s="417"/>
      <c r="I46" s="416"/>
      <c r="J46" s="417"/>
      <c r="K46" s="418"/>
      <c r="L46" s="212"/>
      <c r="M46" s="212"/>
      <c r="N46" s="212"/>
      <c r="O46" s="212"/>
      <c r="P46" s="212"/>
      <c r="Q46" s="212"/>
      <c r="R46" s="212"/>
      <c r="S46" s="212"/>
      <c r="T46" s="212"/>
      <c r="U46" s="212"/>
      <c r="V46" s="212"/>
      <c r="W46" s="393"/>
      <c r="X46" s="319">
        <f>SUM(K46:V46)</f>
        <v>0</v>
      </c>
    </row>
    <row r="47" spans="1:24" ht="15.75" customHeight="1">
      <c r="A47" s="128" t="s">
        <v>305</v>
      </c>
      <c r="B47" s="128"/>
      <c r="C47" s="384">
        <f t="shared" ref="C47:F47" si="35">C11+C12+C19+C37+C45</f>
        <v>185500</v>
      </c>
      <c r="D47" s="354">
        <f t="shared" si="35"/>
        <v>59528.170000000006</v>
      </c>
      <c r="E47" s="354">
        <f t="shared" si="35"/>
        <v>120563</v>
      </c>
      <c r="F47" s="354">
        <f t="shared" si="35"/>
        <v>227950</v>
      </c>
      <c r="G47" s="354">
        <f t="shared" si="5"/>
        <v>42450</v>
      </c>
      <c r="H47" s="219"/>
      <c r="I47" s="314"/>
      <c r="J47" s="219"/>
      <c r="K47" s="323">
        <f t="shared" ref="K47:V47" si="36">K11+K12+K19+K37+K45</f>
        <v>7259.0909090909099</v>
      </c>
      <c r="L47" s="323">
        <f t="shared" si="36"/>
        <v>11959.09090909091</v>
      </c>
      <c r="M47" s="323">
        <f t="shared" si="36"/>
        <v>11959.09090909091</v>
      </c>
      <c r="N47" s="323">
        <f t="shared" si="36"/>
        <v>21959.090909090912</v>
      </c>
      <c r="O47" s="323">
        <f t="shared" si="36"/>
        <v>22259.090909090912</v>
      </c>
      <c r="P47" s="323">
        <f t="shared" si="36"/>
        <v>35159.090909090912</v>
      </c>
      <c r="Q47" s="323">
        <f t="shared" si="36"/>
        <v>32459.090909090912</v>
      </c>
      <c r="R47" s="323">
        <f t="shared" si="36"/>
        <v>40459.090909090912</v>
      </c>
      <c r="S47" s="323">
        <f t="shared" si="36"/>
        <v>21259.090909090912</v>
      </c>
      <c r="T47" s="323">
        <f t="shared" si="36"/>
        <v>12459.09090909091</v>
      </c>
      <c r="U47" s="323">
        <f t="shared" si="36"/>
        <v>10759.09090909091</v>
      </c>
      <c r="V47" s="323">
        <f t="shared" si="36"/>
        <v>0</v>
      </c>
      <c r="W47" s="394"/>
      <c r="X47" s="323">
        <f>X11+X12+X19+X37+X45</f>
        <v>227950</v>
      </c>
    </row>
    <row r="48" spans="1:24" ht="15.75" customHeight="1">
      <c r="A48" s="129"/>
      <c r="B48" s="129"/>
      <c r="C48" s="292"/>
      <c r="D48" s="196"/>
      <c r="E48" s="196"/>
      <c r="F48" s="196"/>
      <c r="G48" s="196"/>
      <c r="H48" s="196"/>
      <c r="I48" s="419"/>
      <c r="J48" s="196"/>
      <c r="K48" s="196"/>
      <c r="L48" s="420"/>
      <c r="M48" s="196"/>
      <c r="N48" s="196"/>
      <c r="O48" s="196"/>
      <c r="P48" s="196"/>
      <c r="Q48" s="196"/>
      <c r="R48" s="196"/>
      <c r="S48" s="196"/>
      <c r="T48" s="196"/>
      <c r="U48" s="196"/>
      <c r="V48" s="196"/>
      <c r="W48" s="419"/>
      <c r="X48" s="196"/>
    </row>
    <row r="49" spans="1:24" ht="15.75" hidden="1" customHeight="1">
      <c r="A49" s="276" t="s">
        <v>291</v>
      </c>
      <c r="B49" s="129"/>
      <c r="C49" s="292"/>
      <c r="D49" s="277"/>
      <c r="E49" s="277"/>
      <c r="F49" s="277"/>
      <c r="G49" s="277"/>
      <c r="H49" s="277"/>
      <c r="I49" s="210"/>
      <c r="J49" s="277"/>
      <c r="K49" s="278">
        <f t="shared" ref="K49:U49" si="37">K8-K47</f>
        <v>-7259.0909090909099</v>
      </c>
      <c r="L49" s="278">
        <f t="shared" si="37"/>
        <v>-11959.09090909091</v>
      </c>
      <c r="M49" s="278">
        <f t="shared" si="37"/>
        <v>-11244.09090909091</v>
      </c>
      <c r="N49" s="278">
        <f t="shared" si="37"/>
        <v>-9815.5194805194824</v>
      </c>
      <c r="O49" s="278">
        <f t="shared" si="37"/>
        <v>-8115.5194805194824</v>
      </c>
      <c r="P49" s="278">
        <f t="shared" si="37"/>
        <v>-23015.519480519484</v>
      </c>
      <c r="Q49" s="278">
        <f t="shared" si="37"/>
        <v>-20315.519480519484</v>
      </c>
      <c r="R49" s="278">
        <f t="shared" si="37"/>
        <v>-28315.519480519484</v>
      </c>
      <c r="S49" s="278">
        <f t="shared" si="37"/>
        <v>-7120.5194805194824</v>
      </c>
      <c r="T49" s="278">
        <f t="shared" si="37"/>
        <v>-1030.5194805194806</v>
      </c>
      <c r="U49" s="278">
        <f t="shared" si="37"/>
        <v>-10759.09090909091</v>
      </c>
      <c r="V49" s="278"/>
      <c r="W49" s="421"/>
      <c r="X49" s="278">
        <f>X8-X47</f>
        <v>-138950</v>
      </c>
    </row>
    <row r="50" spans="1:24" ht="15.75" hidden="1" customHeight="1">
      <c r="A50" s="128"/>
      <c r="B50" s="129"/>
      <c r="C50" s="292"/>
      <c r="D50" s="129"/>
      <c r="E50" s="129"/>
      <c r="F50" s="129"/>
      <c r="G50" s="129"/>
      <c r="H50" s="129"/>
      <c r="I50" s="207"/>
      <c r="J50" s="129"/>
      <c r="K50" s="129"/>
      <c r="L50" s="130"/>
      <c r="M50" s="129"/>
      <c r="N50" s="129"/>
      <c r="O50" s="129"/>
      <c r="P50" s="129"/>
      <c r="Q50" s="129"/>
      <c r="R50" s="129"/>
      <c r="S50" s="129"/>
      <c r="T50" s="129"/>
      <c r="U50" s="129"/>
      <c r="V50" s="129"/>
      <c r="W50" s="129"/>
      <c r="X50" s="129"/>
    </row>
    <row r="51" spans="1:24" ht="15.75" hidden="1" customHeight="1">
      <c r="C51" s="328"/>
      <c r="D51" s="289"/>
      <c r="E51" s="289"/>
      <c r="F51" s="289"/>
      <c r="G51" s="289"/>
      <c r="H51" s="289"/>
      <c r="I51" s="289"/>
      <c r="J51" s="289"/>
      <c r="K51" s="289"/>
      <c r="L51" s="422"/>
      <c r="M51" s="289"/>
      <c r="N51" s="289"/>
      <c r="O51" s="289"/>
      <c r="P51" s="289"/>
      <c r="Q51" s="289"/>
      <c r="R51" s="289"/>
      <c r="S51" s="289"/>
      <c r="T51" s="289"/>
      <c r="U51" s="289"/>
      <c r="V51" s="289"/>
      <c r="W51" s="289"/>
      <c r="X51" s="289"/>
    </row>
    <row r="52" spans="1:24" ht="15.75" customHeight="1">
      <c r="C52" s="328"/>
      <c r="D52" s="289"/>
      <c r="E52" s="289"/>
      <c r="F52" s="289"/>
      <c r="G52" s="289"/>
      <c r="H52" s="289"/>
      <c r="I52" s="289"/>
      <c r="J52" s="289"/>
      <c r="K52" s="289"/>
      <c r="L52" s="422"/>
      <c r="M52" s="289"/>
      <c r="N52" s="289"/>
      <c r="O52" s="289"/>
      <c r="P52" s="289"/>
      <c r="Q52" s="289"/>
      <c r="R52" s="289"/>
      <c r="S52" s="289"/>
      <c r="T52" s="289"/>
      <c r="U52" s="289"/>
      <c r="V52" s="289"/>
      <c r="W52" s="289"/>
      <c r="X52" s="289"/>
    </row>
    <row r="53" spans="1:24" ht="15.75" customHeight="1">
      <c r="C53" s="328"/>
      <c r="D53" s="289"/>
      <c r="E53" s="289"/>
      <c r="F53" s="289"/>
      <c r="G53" s="289"/>
      <c r="H53" s="289"/>
      <c r="I53" s="289"/>
      <c r="J53" s="289"/>
      <c r="K53" s="289"/>
      <c r="L53" s="422"/>
      <c r="M53" s="289"/>
      <c r="N53" s="289"/>
      <c r="O53" s="289"/>
      <c r="P53" s="289"/>
      <c r="Q53" s="289"/>
      <c r="R53" s="289"/>
      <c r="S53" s="289"/>
      <c r="T53" s="289"/>
      <c r="U53" s="289"/>
      <c r="V53" s="289"/>
      <c r="W53" s="289"/>
      <c r="X53" s="289"/>
    </row>
    <row r="54" spans="1:24" ht="15.75" customHeight="1">
      <c r="C54" s="328"/>
      <c r="D54" s="289"/>
      <c r="E54" s="289"/>
      <c r="F54" s="289"/>
      <c r="G54" s="289"/>
      <c r="H54" s="289"/>
      <c r="I54" s="289"/>
      <c r="J54" s="289"/>
      <c r="K54" s="289"/>
      <c r="L54" s="422"/>
      <c r="M54" s="289"/>
      <c r="N54" s="289"/>
      <c r="O54" s="289"/>
      <c r="P54" s="289"/>
      <c r="Q54" s="289"/>
      <c r="R54" s="289"/>
      <c r="S54" s="289"/>
      <c r="T54" s="289"/>
      <c r="U54" s="289"/>
      <c r="V54" s="289"/>
      <c r="W54" s="289"/>
      <c r="X54" s="289"/>
    </row>
    <row r="55" spans="1:24" ht="15.75" customHeight="1">
      <c r="C55" s="328"/>
      <c r="D55" s="289"/>
      <c r="E55" s="289"/>
      <c r="F55" s="289"/>
      <c r="G55" s="289"/>
      <c r="H55" s="289"/>
      <c r="I55" s="289"/>
      <c r="J55" s="289"/>
      <c r="K55" s="289"/>
      <c r="L55" s="422"/>
      <c r="M55" s="289"/>
      <c r="N55" s="289"/>
      <c r="O55" s="289"/>
      <c r="P55" s="289"/>
      <c r="Q55" s="289"/>
      <c r="R55" s="289"/>
      <c r="S55" s="289"/>
      <c r="T55" s="289"/>
      <c r="U55" s="289"/>
      <c r="V55" s="289"/>
      <c r="W55" s="289"/>
      <c r="X55" s="289"/>
    </row>
    <row r="56" spans="1:24" ht="15.75" customHeight="1">
      <c r="C56" s="328"/>
      <c r="D56" s="289"/>
      <c r="E56" s="289"/>
      <c r="F56" s="289"/>
      <c r="G56" s="289"/>
      <c r="H56" s="289"/>
      <c r="I56" s="289"/>
      <c r="J56" s="289"/>
      <c r="K56" s="289"/>
      <c r="L56" s="422"/>
      <c r="M56" s="289"/>
      <c r="N56" s="289"/>
      <c r="O56" s="289"/>
      <c r="P56" s="289"/>
      <c r="Q56" s="289"/>
      <c r="R56" s="289"/>
      <c r="S56" s="289"/>
      <c r="T56" s="289"/>
      <c r="U56" s="289"/>
      <c r="V56" s="289"/>
      <c r="W56" s="289"/>
      <c r="X56" s="289"/>
    </row>
    <row r="57" spans="1:24" ht="15.75" customHeight="1">
      <c r="C57" s="328"/>
      <c r="D57" s="289"/>
      <c r="E57" s="289"/>
      <c r="F57" s="289"/>
      <c r="G57" s="289"/>
      <c r="H57" s="289"/>
      <c r="I57" s="289"/>
      <c r="J57" s="289"/>
      <c r="K57" s="289"/>
      <c r="L57" s="422"/>
      <c r="M57" s="289"/>
      <c r="N57" s="289"/>
      <c r="O57" s="289"/>
      <c r="P57" s="289"/>
      <c r="Q57" s="289"/>
      <c r="R57" s="289"/>
      <c r="S57" s="289"/>
      <c r="T57" s="289"/>
      <c r="U57" s="289"/>
      <c r="V57" s="289"/>
      <c r="W57" s="289"/>
      <c r="X57" s="289"/>
    </row>
    <row r="58" spans="1:24" ht="15.75" customHeight="1">
      <c r="C58" s="328"/>
      <c r="D58" s="289"/>
      <c r="E58" s="289"/>
      <c r="F58" s="289"/>
      <c r="G58" s="289"/>
      <c r="H58" s="289"/>
      <c r="I58" s="289"/>
      <c r="J58" s="289"/>
      <c r="K58" s="289"/>
      <c r="L58" s="422"/>
      <c r="M58" s="289"/>
      <c r="N58" s="289"/>
      <c r="O58" s="289"/>
      <c r="P58" s="289"/>
      <c r="Q58" s="289"/>
      <c r="R58" s="289"/>
      <c r="S58" s="289"/>
      <c r="T58" s="289"/>
      <c r="U58" s="289"/>
      <c r="V58" s="289"/>
      <c r="W58" s="289"/>
      <c r="X58" s="289"/>
    </row>
    <row r="59" spans="1:24" ht="15.75" customHeight="1">
      <c r="C59" s="328"/>
      <c r="D59" s="289"/>
      <c r="E59" s="289"/>
      <c r="F59" s="289"/>
      <c r="G59" s="289"/>
      <c r="H59" s="289"/>
      <c r="I59" s="289"/>
      <c r="J59" s="289"/>
      <c r="K59" s="289"/>
      <c r="L59" s="422"/>
      <c r="M59" s="289"/>
      <c r="N59" s="289"/>
      <c r="O59" s="289"/>
      <c r="P59" s="289"/>
      <c r="Q59" s="289"/>
      <c r="R59" s="289"/>
      <c r="S59" s="289"/>
      <c r="T59" s="289"/>
      <c r="U59" s="289"/>
      <c r="V59" s="289"/>
      <c r="W59" s="289"/>
      <c r="X59" s="289"/>
    </row>
    <row r="60" spans="1:24" ht="15.75" customHeight="1">
      <c r="C60" s="328"/>
      <c r="D60" s="289"/>
      <c r="E60" s="289"/>
      <c r="F60" s="289"/>
      <c r="G60" s="289"/>
      <c r="H60" s="289"/>
      <c r="I60" s="289"/>
      <c r="J60" s="289"/>
      <c r="K60" s="289"/>
      <c r="L60" s="422"/>
      <c r="M60" s="289"/>
      <c r="N60" s="289"/>
      <c r="O60" s="289"/>
      <c r="P60" s="289"/>
      <c r="Q60" s="289"/>
      <c r="R60" s="289"/>
      <c r="S60" s="289"/>
      <c r="T60" s="289"/>
      <c r="U60" s="289"/>
      <c r="V60" s="289"/>
      <c r="W60" s="289"/>
      <c r="X60" s="289"/>
    </row>
    <row r="61" spans="1:24" ht="15.75" customHeight="1">
      <c r="C61" s="328"/>
      <c r="D61" s="289"/>
      <c r="E61" s="289"/>
      <c r="F61" s="289"/>
      <c r="G61" s="289"/>
      <c r="H61" s="289"/>
      <c r="I61" s="289"/>
      <c r="J61" s="289"/>
      <c r="K61" s="289"/>
      <c r="L61" s="422"/>
      <c r="M61" s="289"/>
      <c r="N61" s="289"/>
      <c r="O61" s="289"/>
      <c r="P61" s="289"/>
      <c r="Q61" s="289"/>
      <c r="R61" s="289"/>
      <c r="S61" s="289"/>
      <c r="T61" s="289"/>
      <c r="U61" s="289"/>
      <c r="V61" s="289"/>
      <c r="W61" s="289"/>
      <c r="X61" s="289"/>
    </row>
    <row r="62" spans="1:24" ht="15.75" customHeight="1">
      <c r="C62" s="328"/>
      <c r="D62" s="289"/>
      <c r="E62" s="289"/>
      <c r="F62" s="289"/>
      <c r="G62" s="289"/>
      <c r="H62" s="289"/>
      <c r="I62" s="289"/>
      <c r="J62" s="289"/>
      <c r="K62" s="289"/>
      <c r="L62" s="422"/>
      <c r="M62" s="289"/>
      <c r="N62" s="289"/>
      <c r="O62" s="289"/>
      <c r="P62" s="289"/>
      <c r="Q62" s="289"/>
      <c r="R62" s="289"/>
      <c r="S62" s="289"/>
      <c r="T62" s="289"/>
      <c r="U62" s="289"/>
      <c r="V62" s="289"/>
      <c r="W62" s="289"/>
      <c r="X62" s="289"/>
    </row>
    <row r="63" spans="1:24" ht="15.75" customHeight="1">
      <c r="C63" s="328"/>
      <c r="D63" s="289"/>
      <c r="E63" s="289"/>
      <c r="F63" s="289"/>
      <c r="G63" s="289"/>
      <c r="H63" s="289"/>
      <c r="I63" s="289"/>
      <c r="J63" s="289"/>
      <c r="K63" s="289"/>
      <c r="L63" s="422"/>
      <c r="M63" s="289"/>
      <c r="N63" s="289"/>
      <c r="O63" s="289"/>
      <c r="P63" s="289"/>
      <c r="Q63" s="289"/>
      <c r="R63" s="289"/>
      <c r="S63" s="289"/>
      <c r="T63" s="289"/>
      <c r="U63" s="289"/>
      <c r="V63" s="289"/>
      <c r="W63" s="289"/>
      <c r="X63" s="289"/>
    </row>
    <row r="64" spans="1:24" ht="15.75" customHeight="1">
      <c r="C64" s="328"/>
      <c r="D64" s="289"/>
      <c r="E64" s="289"/>
      <c r="F64" s="289"/>
      <c r="G64" s="289"/>
      <c r="H64" s="289"/>
      <c r="I64" s="289"/>
      <c r="J64" s="289"/>
      <c r="K64" s="289"/>
      <c r="L64" s="422"/>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422"/>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422"/>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422"/>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422"/>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422"/>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422"/>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422"/>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422"/>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422"/>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422"/>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422"/>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422"/>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422"/>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422"/>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422"/>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422"/>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422"/>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422"/>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422"/>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422"/>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422"/>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422"/>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422"/>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422"/>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422"/>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422"/>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422"/>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422"/>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422"/>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422"/>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422"/>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422"/>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422"/>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422"/>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422"/>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422"/>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422"/>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422"/>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422"/>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422"/>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422"/>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422"/>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422"/>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422"/>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422"/>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422"/>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422"/>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422"/>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422"/>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422"/>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422"/>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422"/>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422"/>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422"/>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422"/>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422"/>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422"/>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422"/>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422"/>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422"/>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422"/>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422"/>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422"/>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422"/>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422"/>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422"/>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422"/>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422"/>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422"/>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422"/>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422"/>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422"/>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422"/>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422"/>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422"/>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422"/>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422"/>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422"/>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422"/>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422"/>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422"/>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422"/>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422"/>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422"/>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422"/>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422"/>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422"/>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422"/>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422"/>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422"/>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422"/>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422"/>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422"/>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422"/>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422"/>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422"/>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422"/>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422"/>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422"/>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422"/>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422"/>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422"/>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422"/>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422"/>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422"/>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422"/>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422"/>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422"/>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422"/>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422"/>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422"/>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422"/>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422"/>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422"/>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422"/>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422"/>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422"/>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422"/>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422"/>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422"/>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422"/>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422"/>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422"/>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422"/>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422"/>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422"/>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422"/>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422"/>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422"/>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422"/>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422"/>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422"/>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422"/>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422"/>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422"/>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422"/>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422"/>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422"/>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422"/>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422"/>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422"/>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422"/>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422"/>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422"/>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422"/>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422"/>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422"/>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422"/>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422"/>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422"/>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422"/>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422"/>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422"/>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422"/>
      <c r="M218" s="289"/>
      <c r="N218" s="289"/>
      <c r="O218" s="289"/>
      <c r="P218" s="289"/>
      <c r="Q218" s="289"/>
      <c r="R218" s="289"/>
      <c r="S218" s="289"/>
      <c r="T218" s="289"/>
      <c r="U218" s="289"/>
      <c r="V218" s="289"/>
      <c r="W218" s="289"/>
      <c r="X218" s="289"/>
    </row>
    <row r="219" spans="3:24" ht="15.75" customHeight="1">
      <c r="C219" s="328"/>
      <c r="D219" s="289"/>
      <c r="E219" s="289"/>
      <c r="F219" s="289"/>
      <c r="G219" s="289"/>
      <c r="H219" s="289"/>
      <c r="I219" s="289"/>
      <c r="J219" s="289"/>
      <c r="K219" s="289"/>
      <c r="L219" s="422"/>
      <c r="M219" s="289"/>
      <c r="N219" s="289"/>
      <c r="O219" s="289"/>
      <c r="P219" s="289"/>
      <c r="Q219" s="289"/>
      <c r="R219" s="289"/>
      <c r="S219" s="289"/>
      <c r="T219" s="289"/>
      <c r="U219" s="289"/>
      <c r="V219" s="289"/>
      <c r="W219" s="289"/>
      <c r="X219" s="289"/>
    </row>
    <row r="220" spans="3:24" ht="15.75" customHeight="1">
      <c r="C220" s="328"/>
      <c r="D220" s="289"/>
      <c r="E220" s="289"/>
      <c r="F220" s="289"/>
      <c r="G220" s="289"/>
      <c r="H220" s="289"/>
      <c r="I220" s="289"/>
      <c r="J220" s="289"/>
      <c r="K220" s="289"/>
      <c r="L220" s="422"/>
      <c r="M220" s="289"/>
      <c r="N220" s="289"/>
      <c r="O220" s="289"/>
      <c r="P220" s="289"/>
      <c r="Q220" s="289"/>
      <c r="R220" s="289"/>
      <c r="S220" s="289"/>
      <c r="T220" s="289"/>
      <c r="U220" s="289"/>
      <c r="V220" s="289"/>
      <c r="W220" s="289"/>
      <c r="X220" s="289"/>
    </row>
    <row r="221" spans="3:24" ht="15.75" customHeight="1">
      <c r="C221" s="328"/>
      <c r="D221" s="289"/>
      <c r="E221" s="289"/>
      <c r="F221" s="289"/>
      <c r="G221" s="289"/>
      <c r="H221" s="289"/>
      <c r="I221" s="289"/>
      <c r="J221" s="289"/>
      <c r="K221" s="289"/>
      <c r="L221" s="422"/>
      <c r="M221" s="289"/>
      <c r="N221" s="289"/>
      <c r="O221" s="289"/>
      <c r="P221" s="289"/>
      <c r="Q221" s="289"/>
      <c r="R221" s="289"/>
      <c r="S221" s="289"/>
      <c r="T221" s="289"/>
      <c r="U221" s="289"/>
      <c r="V221" s="289"/>
      <c r="W221" s="289"/>
      <c r="X221" s="289"/>
    </row>
    <row r="222" spans="3:24" ht="15.75" customHeight="1">
      <c r="C222" s="328"/>
      <c r="D222" s="289"/>
      <c r="E222" s="289"/>
      <c r="F222" s="289"/>
      <c r="G222" s="289"/>
      <c r="H222" s="289"/>
      <c r="I222" s="289"/>
      <c r="J222" s="289"/>
      <c r="K222" s="289"/>
      <c r="L222" s="422"/>
      <c r="M222" s="289"/>
      <c r="N222" s="289"/>
      <c r="O222" s="289"/>
      <c r="P222" s="289"/>
      <c r="Q222" s="289"/>
      <c r="R222" s="289"/>
      <c r="S222" s="289"/>
      <c r="T222" s="289"/>
      <c r="U222" s="289"/>
      <c r="V222" s="289"/>
      <c r="W222" s="289"/>
      <c r="X222" s="289"/>
    </row>
    <row r="223" spans="3:24" ht="15.75" customHeight="1">
      <c r="C223" s="328"/>
      <c r="D223" s="289"/>
      <c r="E223" s="289"/>
      <c r="F223" s="289"/>
      <c r="G223" s="289"/>
      <c r="H223" s="289"/>
      <c r="I223" s="289"/>
      <c r="J223" s="289"/>
      <c r="K223" s="289"/>
      <c r="L223" s="422"/>
      <c r="M223" s="289"/>
      <c r="N223" s="289"/>
      <c r="O223" s="289"/>
      <c r="P223" s="289"/>
      <c r="Q223" s="289"/>
      <c r="R223" s="289"/>
      <c r="S223" s="289"/>
      <c r="T223" s="289"/>
      <c r="U223" s="289"/>
      <c r="V223" s="289"/>
      <c r="W223" s="289"/>
      <c r="X223" s="289"/>
    </row>
    <row r="224" spans="3:24" ht="15.75" customHeight="1">
      <c r="C224" s="328"/>
      <c r="D224" s="289"/>
      <c r="E224" s="289"/>
      <c r="F224" s="289"/>
      <c r="G224" s="289"/>
      <c r="H224" s="289"/>
      <c r="I224" s="289"/>
      <c r="J224" s="289"/>
      <c r="K224" s="289"/>
      <c r="L224" s="422"/>
      <c r="M224" s="289"/>
      <c r="N224" s="289"/>
      <c r="O224" s="289"/>
      <c r="P224" s="289"/>
      <c r="Q224" s="289"/>
      <c r="R224" s="289"/>
      <c r="S224" s="289"/>
      <c r="T224" s="289"/>
      <c r="U224" s="289"/>
      <c r="V224" s="289"/>
      <c r="W224" s="289"/>
      <c r="X224" s="289"/>
    </row>
    <row r="225" spans="3:24" ht="15.75" customHeight="1">
      <c r="C225" s="328"/>
      <c r="D225" s="289"/>
      <c r="E225" s="289"/>
      <c r="F225" s="289"/>
      <c r="G225" s="289"/>
      <c r="H225" s="289"/>
      <c r="I225" s="289"/>
      <c r="J225" s="289"/>
      <c r="K225" s="289"/>
      <c r="L225" s="422"/>
      <c r="M225" s="289"/>
      <c r="N225" s="289"/>
      <c r="O225" s="289"/>
      <c r="P225" s="289"/>
      <c r="Q225" s="289"/>
      <c r="R225" s="289"/>
      <c r="S225" s="289"/>
      <c r="T225" s="289"/>
      <c r="U225" s="289"/>
      <c r="V225" s="289"/>
      <c r="W225" s="289"/>
      <c r="X225" s="289"/>
    </row>
    <row r="226" spans="3:24" ht="15.75" customHeight="1">
      <c r="C226" s="328"/>
      <c r="D226" s="289"/>
      <c r="E226" s="289"/>
      <c r="F226" s="289"/>
      <c r="G226" s="289"/>
      <c r="H226" s="289"/>
      <c r="I226" s="289"/>
      <c r="J226" s="289"/>
      <c r="K226" s="289"/>
      <c r="L226" s="422"/>
      <c r="M226" s="289"/>
      <c r="N226" s="289"/>
      <c r="O226" s="289"/>
      <c r="P226" s="289"/>
      <c r="Q226" s="289"/>
      <c r="R226" s="289"/>
      <c r="S226" s="289"/>
      <c r="T226" s="289"/>
      <c r="U226" s="289"/>
      <c r="V226" s="289"/>
      <c r="W226" s="289"/>
      <c r="X226" s="289"/>
    </row>
    <row r="227" spans="3:24" ht="15.75" customHeight="1">
      <c r="C227" s="328"/>
      <c r="D227" s="289"/>
      <c r="E227" s="289"/>
      <c r="F227" s="289"/>
      <c r="G227" s="289"/>
      <c r="H227" s="289"/>
      <c r="I227" s="289"/>
      <c r="J227" s="289"/>
      <c r="K227" s="289"/>
      <c r="L227" s="422"/>
      <c r="M227" s="289"/>
      <c r="N227" s="289"/>
      <c r="O227" s="289"/>
      <c r="P227" s="289"/>
      <c r="Q227" s="289"/>
      <c r="R227" s="289"/>
      <c r="S227" s="289"/>
      <c r="T227" s="289"/>
      <c r="U227" s="289"/>
      <c r="V227" s="289"/>
      <c r="W227" s="289"/>
      <c r="X227" s="289"/>
    </row>
    <row r="228" spans="3:24" ht="15.75" customHeight="1">
      <c r="C228" s="328"/>
      <c r="D228" s="289"/>
      <c r="E228" s="289"/>
      <c r="F228" s="289"/>
      <c r="G228" s="289"/>
      <c r="H228" s="289"/>
      <c r="I228" s="289"/>
      <c r="J228" s="289"/>
      <c r="K228" s="289"/>
      <c r="L228" s="422"/>
      <c r="M228" s="289"/>
      <c r="N228" s="289"/>
      <c r="O228" s="289"/>
      <c r="P228" s="289"/>
      <c r="Q228" s="289"/>
      <c r="R228" s="289"/>
      <c r="S228" s="289"/>
      <c r="T228" s="289"/>
      <c r="U228" s="289"/>
      <c r="V228" s="289"/>
      <c r="W228" s="289"/>
      <c r="X228" s="289"/>
    </row>
    <row r="229" spans="3:24" ht="15.75" customHeight="1">
      <c r="C229" s="328"/>
      <c r="D229" s="289"/>
      <c r="E229" s="289"/>
      <c r="F229" s="289"/>
      <c r="G229" s="289"/>
      <c r="H229" s="289"/>
      <c r="I229" s="289"/>
      <c r="J229" s="289"/>
      <c r="K229" s="289"/>
      <c r="L229" s="422"/>
      <c r="M229" s="289"/>
      <c r="N229" s="289"/>
      <c r="O229" s="289"/>
      <c r="P229" s="289"/>
      <c r="Q229" s="289"/>
      <c r="R229" s="289"/>
      <c r="S229" s="289"/>
      <c r="T229" s="289"/>
      <c r="U229" s="289"/>
      <c r="V229" s="289"/>
      <c r="W229" s="289"/>
      <c r="X229" s="289"/>
    </row>
    <row r="230" spans="3:24" ht="15.75" customHeight="1">
      <c r="C230" s="328"/>
      <c r="D230" s="289"/>
      <c r="E230" s="289"/>
      <c r="F230" s="289"/>
      <c r="G230" s="289"/>
      <c r="H230" s="289"/>
      <c r="I230" s="289"/>
      <c r="J230" s="289"/>
      <c r="K230" s="289"/>
      <c r="L230" s="422"/>
      <c r="M230" s="289"/>
      <c r="N230" s="289"/>
      <c r="O230" s="289"/>
      <c r="P230" s="289"/>
      <c r="Q230" s="289"/>
      <c r="R230" s="289"/>
      <c r="S230" s="289"/>
      <c r="T230" s="289"/>
      <c r="U230" s="289"/>
      <c r="V230" s="289"/>
      <c r="W230" s="289"/>
      <c r="X230" s="289"/>
    </row>
    <row r="231" spans="3:24" ht="15.75" customHeight="1">
      <c r="C231" s="328"/>
      <c r="D231" s="289"/>
      <c r="E231" s="289"/>
      <c r="F231" s="289"/>
      <c r="G231" s="289"/>
      <c r="H231" s="289"/>
      <c r="I231" s="289"/>
      <c r="J231" s="289"/>
      <c r="K231" s="289"/>
      <c r="L231" s="422"/>
      <c r="M231" s="289"/>
      <c r="N231" s="289"/>
      <c r="O231" s="289"/>
      <c r="P231" s="289"/>
      <c r="Q231" s="289"/>
      <c r="R231" s="289"/>
      <c r="S231" s="289"/>
      <c r="T231" s="289"/>
      <c r="U231" s="289"/>
      <c r="V231" s="289"/>
      <c r="W231" s="289"/>
      <c r="X231" s="289"/>
    </row>
    <row r="232" spans="3:24" ht="15.75" customHeight="1">
      <c r="C232" s="328"/>
      <c r="D232" s="289"/>
      <c r="E232" s="289"/>
      <c r="F232" s="289"/>
      <c r="G232" s="289"/>
      <c r="H232" s="289"/>
      <c r="I232" s="289"/>
      <c r="J232" s="289"/>
      <c r="K232" s="289"/>
      <c r="L232" s="422"/>
      <c r="M232" s="289"/>
      <c r="N232" s="289"/>
      <c r="O232" s="289"/>
      <c r="P232" s="289"/>
      <c r="Q232" s="289"/>
      <c r="R232" s="289"/>
      <c r="S232" s="289"/>
      <c r="T232" s="289"/>
      <c r="U232" s="289"/>
      <c r="V232" s="289"/>
      <c r="W232" s="289"/>
      <c r="X232" s="289"/>
    </row>
    <row r="233" spans="3:24" ht="15.75" customHeight="1">
      <c r="C233" s="328"/>
      <c r="D233" s="289"/>
      <c r="E233" s="289"/>
      <c r="F233" s="289"/>
      <c r="G233" s="289"/>
      <c r="H233" s="289"/>
      <c r="I233" s="289"/>
      <c r="J233" s="289"/>
      <c r="K233" s="289"/>
      <c r="L233" s="422"/>
      <c r="M233" s="289"/>
      <c r="N233" s="289"/>
      <c r="O233" s="289"/>
      <c r="P233" s="289"/>
      <c r="Q233" s="289"/>
      <c r="R233" s="289"/>
      <c r="S233" s="289"/>
      <c r="T233" s="289"/>
      <c r="U233" s="289"/>
      <c r="V233" s="289"/>
      <c r="W233" s="289"/>
      <c r="X233" s="289"/>
    </row>
    <row r="234" spans="3:24" ht="15.75" customHeight="1">
      <c r="C234" s="328"/>
      <c r="D234" s="289"/>
      <c r="E234" s="289"/>
      <c r="F234" s="289"/>
      <c r="G234" s="289"/>
      <c r="H234" s="289"/>
      <c r="I234" s="289"/>
      <c r="J234" s="289"/>
      <c r="K234" s="289"/>
      <c r="L234" s="422"/>
      <c r="M234" s="289"/>
      <c r="N234" s="289"/>
      <c r="O234" s="289"/>
      <c r="P234" s="289"/>
      <c r="Q234" s="289"/>
      <c r="R234" s="289"/>
      <c r="S234" s="289"/>
      <c r="T234" s="289"/>
      <c r="U234" s="289"/>
      <c r="V234" s="289"/>
      <c r="W234" s="289"/>
      <c r="X234" s="289"/>
    </row>
    <row r="235" spans="3:24" ht="15.75" customHeight="1">
      <c r="C235" s="328"/>
      <c r="D235" s="289"/>
      <c r="E235" s="289"/>
      <c r="F235" s="289"/>
      <c r="G235" s="289"/>
      <c r="H235" s="289"/>
      <c r="I235" s="289"/>
      <c r="J235" s="289"/>
      <c r="K235" s="289"/>
      <c r="L235" s="422"/>
      <c r="M235" s="289"/>
      <c r="N235" s="289"/>
      <c r="O235" s="289"/>
      <c r="P235" s="289"/>
      <c r="Q235" s="289"/>
      <c r="R235" s="289"/>
      <c r="S235" s="289"/>
      <c r="T235" s="289"/>
      <c r="U235" s="289"/>
      <c r="V235" s="289"/>
      <c r="W235" s="289"/>
      <c r="X235" s="289"/>
    </row>
    <row r="236" spans="3:24" ht="15.75" customHeight="1">
      <c r="C236" s="328"/>
      <c r="D236" s="289"/>
      <c r="E236" s="289"/>
      <c r="F236" s="289"/>
      <c r="G236" s="289"/>
      <c r="H236" s="289"/>
      <c r="I236" s="289"/>
      <c r="J236" s="289"/>
      <c r="K236" s="289"/>
      <c r="L236" s="422"/>
      <c r="M236" s="289"/>
      <c r="N236" s="289"/>
      <c r="O236" s="289"/>
      <c r="P236" s="289"/>
      <c r="Q236" s="289"/>
      <c r="R236" s="289"/>
      <c r="S236" s="289"/>
      <c r="T236" s="289"/>
      <c r="U236" s="289"/>
      <c r="V236" s="289"/>
      <c r="W236" s="289"/>
      <c r="X236" s="289"/>
    </row>
    <row r="237" spans="3:24" ht="15.75" customHeight="1">
      <c r="C237" s="328"/>
      <c r="D237" s="289"/>
      <c r="E237" s="289"/>
      <c r="F237" s="289"/>
      <c r="G237" s="289"/>
      <c r="H237" s="289"/>
      <c r="I237" s="289"/>
      <c r="J237" s="289"/>
      <c r="K237" s="289"/>
      <c r="L237" s="422"/>
      <c r="M237" s="289"/>
      <c r="N237" s="289"/>
      <c r="O237" s="289"/>
      <c r="P237" s="289"/>
      <c r="Q237" s="289"/>
      <c r="R237" s="289"/>
      <c r="S237" s="289"/>
      <c r="T237" s="289"/>
      <c r="U237" s="289"/>
      <c r="V237" s="289"/>
      <c r="W237" s="289"/>
      <c r="X237" s="289"/>
    </row>
    <row r="238" spans="3:24" ht="15.75" customHeight="1">
      <c r="C238" s="328"/>
      <c r="D238" s="289"/>
      <c r="E238" s="289"/>
      <c r="F238" s="289"/>
      <c r="G238" s="289"/>
      <c r="H238" s="289"/>
      <c r="I238" s="289"/>
      <c r="J238" s="289"/>
      <c r="K238" s="289"/>
      <c r="L238" s="422"/>
      <c r="M238" s="289"/>
      <c r="N238" s="289"/>
      <c r="O238" s="289"/>
      <c r="P238" s="289"/>
      <c r="Q238" s="289"/>
      <c r="R238" s="289"/>
      <c r="S238" s="289"/>
      <c r="T238" s="289"/>
      <c r="U238" s="289"/>
      <c r="V238" s="289"/>
      <c r="W238" s="289"/>
      <c r="X238" s="289"/>
    </row>
    <row r="239" spans="3:24" ht="15.75" customHeight="1">
      <c r="C239" s="328"/>
      <c r="D239" s="289"/>
      <c r="E239" s="289"/>
      <c r="F239" s="289"/>
      <c r="G239" s="289"/>
      <c r="H239" s="289"/>
      <c r="I239" s="289"/>
      <c r="J239" s="289"/>
      <c r="K239" s="289"/>
      <c r="L239" s="422"/>
      <c r="M239" s="289"/>
      <c r="N239" s="289"/>
      <c r="O239" s="289"/>
      <c r="P239" s="289"/>
      <c r="Q239" s="289"/>
      <c r="R239" s="289"/>
      <c r="S239" s="289"/>
      <c r="T239" s="289"/>
      <c r="U239" s="289"/>
      <c r="V239" s="289"/>
      <c r="W239" s="289"/>
      <c r="X239" s="289"/>
    </row>
    <row r="240" spans="3:24" ht="15.75" customHeight="1">
      <c r="C240" s="328"/>
      <c r="D240" s="289"/>
      <c r="E240" s="289"/>
      <c r="F240" s="289"/>
      <c r="G240" s="289"/>
      <c r="H240" s="289"/>
      <c r="I240" s="289"/>
      <c r="J240" s="289"/>
      <c r="K240" s="289"/>
      <c r="L240" s="422"/>
      <c r="M240" s="289"/>
      <c r="N240" s="289"/>
      <c r="O240" s="289"/>
      <c r="P240" s="289"/>
      <c r="Q240" s="289"/>
      <c r="R240" s="289"/>
      <c r="S240" s="289"/>
      <c r="T240" s="289"/>
      <c r="U240" s="289"/>
      <c r="V240" s="289"/>
      <c r="W240" s="289"/>
      <c r="X240" s="289"/>
    </row>
    <row r="241" spans="3:24" ht="15.75" customHeight="1">
      <c r="C241" s="328"/>
      <c r="D241" s="289"/>
      <c r="E241" s="289"/>
      <c r="F241" s="289"/>
      <c r="G241" s="289"/>
      <c r="H241" s="289"/>
      <c r="I241" s="289"/>
      <c r="J241" s="289"/>
      <c r="K241" s="289"/>
      <c r="L241" s="422"/>
      <c r="M241" s="289"/>
      <c r="N241" s="289"/>
      <c r="O241" s="289"/>
      <c r="P241" s="289"/>
      <c r="Q241" s="289"/>
      <c r="R241" s="289"/>
      <c r="S241" s="289"/>
      <c r="T241" s="289"/>
      <c r="U241" s="289"/>
      <c r="V241" s="289"/>
      <c r="W241" s="289"/>
      <c r="X241" s="289"/>
    </row>
    <row r="242" spans="3:24" ht="15.75" customHeight="1">
      <c r="C242" s="328"/>
      <c r="D242" s="289"/>
      <c r="E242" s="289"/>
      <c r="F242" s="289"/>
      <c r="G242" s="289"/>
      <c r="H242" s="289"/>
      <c r="I242" s="289"/>
      <c r="J242" s="289"/>
      <c r="K242" s="289"/>
      <c r="L242" s="422"/>
      <c r="M242" s="289"/>
      <c r="N242" s="289"/>
      <c r="O242" s="289"/>
      <c r="P242" s="289"/>
      <c r="Q242" s="289"/>
      <c r="R242" s="289"/>
      <c r="S242" s="289"/>
      <c r="T242" s="289"/>
      <c r="U242" s="289"/>
      <c r="V242" s="289"/>
      <c r="W242" s="289"/>
      <c r="X242" s="289"/>
    </row>
    <row r="243" spans="3:24" ht="15.75" customHeight="1">
      <c r="C243" s="328"/>
      <c r="D243" s="289"/>
      <c r="E243" s="289"/>
      <c r="F243" s="289"/>
      <c r="G243" s="289"/>
      <c r="H243" s="289"/>
      <c r="I243" s="289"/>
      <c r="J243" s="289"/>
      <c r="K243" s="289"/>
      <c r="L243" s="422"/>
      <c r="M243" s="289"/>
      <c r="N243" s="289"/>
      <c r="O243" s="289"/>
      <c r="P243" s="289"/>
      <c r="Q243" s="289"/>
      <c r="R243" s="289"/>
      <c r="S243" s="289"/>
      <c r="T243" s="289"/>
      <c r="U243" s="289"/>
      <c r="V243" s="289"/>
      <c r="W243" s="289"/>
      <c r="X243" s="289"/>
    </row>
    <row r="244" spans="3:24" ht="15.75" customHeight="1">
      <c r="C244" s="328"/>
      <c r="D244" s="289"/>
      <c r="E244" s="289"/>
      <c r="F244" s="289"/>
      <c r="G244" s="289"/>
      <c r="H244" s="289"/>
      <c r="I244" s="289"/>
      <c r="J244" s="289"/>
      <c r="K244" s="289"/>
      <c r="L244" s="422"/>
      <c r="M244" s="289"/>
      <c r="N244" s="289"/>
      <c r="O244" s="289"/>
      <c r="P244" s="289"/>
      <c r="Q244" s="289"/>
      <c r="R244" s="289"/>
      <c r="S244" s="289"/>
      <c r="T244" s="289"/>
      <c r="U244" s="289"/>
      <c r="V244" s="289"/>
      <c r="W244" s="289"/>
      <c r="X244" s="289"/>
    </row>
    <row r="245" spans="3:24" ht="15.75" customHeight="1">
      <c r="C245" s="328"/>
      <c r="D245" s="289"/>
      <c r="E245" s="289"/>
      <c r="F245" s="289"/>
      <c r="G245" s="289"/>
      <c r="H245" s="289"/>
      <c r="I245" s="289"/>
      <c r="J245" s="289"/>
      <c r="K245" s="289"/>
      <c r="L245" s="422"/>
      <c r="M245" s="289"/>
      <c r="N245" s="289"/>
      <c r="O245" s="289"/>
      <c r="P245" s="289"/>
      <c r="Q245" s="289"/>
      <c r="R245" s="289"/>
      <c r="S245" s="289"/>
      <c r="T245" s="289"/>
      <c r="U245" s="289"/>
      <c r="V245" s="289"/>
      <c r="W245" s="289"/>
      <c r="X245" s="289"/>
    </row>
    <row r="246" spans="3:24" ht="15.75" customHeight="1">
      <c r="C246" s="328"/>
      <c r="D246" s="289"/>
      <c r="E246" s="289"/>
      <c r="F246" s="289"/>
      <c r="G246" s="289"/>
      <c r="H246" s="289"/>
      <c r="I246" s="289"/>
      <c r="J246" s="289"/>
      <c r="K246" s="289"/>
      <c r="L246" s="422"/>
      <c r="M246" s="289"/>
      <c r="N246" s="289"/>
      <c r="O246" s="289"/>
      <c r="P246" s="289"/>
      <c r="Q246" s="289"/>
      <c r="R246" s="289"/>
      <c r="S246" s="289"/>
      <c r="T246" s="289"/>
      <c r="U246" s="289"/>
      <c r="V246" s="289"/>
      <c r="W246" s="289"/>
      <c r="X246" s="289"/>
    </row>
    <row r="247" spans="3:24" ht="15.75" customHeight="1">
      <c r="C247" s="328"/>
      <c r="D247" s="289"/>
      <c r="E247" s="289"/>
      <c r="F247" s="289"/>
      <c r="G247" s="289"/>
      <c r="H247" s="289"/>
      <c r="I247" s="289"/>
      <c r="J247" s="289"/>
      <c r="K247" s="289"/>
      <c r="L247" s="422"/>
      <c r="M247" s="289"/>
      <c r="N247" s="289"/>
      <c r="O247" s="289"/>
      <c r="P247" s="289"/>
      <c r="Q247" s="289"/>
      <c r="R247" s="289"/>
      <c r="S247" s="289"/>
      <c r="T247" s="289"/>
      <c r="U247" s="289"/>
      <c r="V247" s="289"/>
      <c r="W247" s="289"/>
      <c r="X247" s="289"/>
    </row>
    <row r="248" spans="3:24" ht="15.75" customHeight="1">
      <c r="C248" s="328"/>
      <c r="D248" s="289"/>
      <c r="E248" s="289"/>
      <c r="F248" s="289"/>
      <c r="G248" s="289"/>
      <c r="H248" s="289"/>
      <c r="I248" s="289"/>
      <c r="J248" s="289"/>
      <c r="K248" s="289"/>
      <c r="L248" s="422"/>
      <c r="M248" s="289"/>
      <c r="N248" s="289"/>
      <c r="O248" s="289"/>
      <c r="P248" s="289"/>
      <c r="Q248" s="289"/>
      <c r="R248" s="289"/>
      <c r="S248" s="289"/>
      <c r="T248" s="289"/>
      <c r="U248" s="289"/>
      <c r="V248" s="289"/>
      <c r="W248" s="289"/>
      <c r="X248" s="289"/>
    </row>
    <row r="249" spans="3:24" ht="15.75" customHeight="1">
      <c r="C249" s="328"/>
      <c r="D249" s="289"/>
      <c r="E249" s="289"/>
      <c r="F249" s="289"/>
      <c r="G249" s="289"/>
      <c r="H249" s="289"/>
      <c r="I249" s="289"/>
      <c r="J249" s="289"/>
      <c r="K249" s="289"/>
      <c r="L249" s="422"/>
      <c r="M249" s="289"/>
      <c r="N249" s="289"/>
      <c r="O249" s="289"/>
      <c r="P249" s="289"/>
      <c r="Q249" s="289"/>
      <c r="R249" s="289"/>
      <c r="S249" s="289"/>
      <c r="T249" s="289"/>
      <c r="U249" s="289"/>
      <c r="V249" s="289"/>
      <c r="W249" s="289"/>
      <c r="X249" s="289"/>
    </row>
    <row r="250" spans="3:24" ht="15.75" customHeight="1"/>
    <row r="251" spans="3:24" ht="15.75" customHeight="1"/>
    <row r="252" spans="3:24" ht="15.75" customHeight="1"/>
    <row r="253" spans="3:24" ht="15.75" customHeight="1"/>
    <row r="254" spans="3:24" ht="15.75" customHeight="1"/>
    <row r="255" spans="3:24" ht="15.75" customHeight="1"/>
    <row r="256" spans="3:24"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sheetData>
  <pageMargins left="0.7" right="0.7" top="0.75" bottom="0.75" header="0" footer="0"/>
  <pageSetup orientation="landscape"/>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X998"/>
  <sheetViews>
    <sheetView workbookViewId="0"/>
  </sheetViews>
  <sheetFormatPr defaultColWidth="12.5703125" defaultRowHeight="15" customHeight="1"/>
  <cols>
    <col min="1" max="1" width="5.7109375" customWidth="1"/>
    <col min="2" max="2" width="18.85546875" customWidth="1"/>
    <col min="3" max="3" width="10.7109375" customWidth="1"/>
    <col min="4" max="4" width="13.85546875" customWidth="1"/>
    <col min="5" max="5" width="13.28515625" customWidth="1"/>
    <col min="6" max="6" width="11.42578125" customWidth="1"/>
    <col min="7" max="7" width="15.5703125" customWidth="1"/>
    <col min="8" max="8" width="2.42578125" customWidth="1"/>
    <col min="9" max="9" width="58.42578125" customWidth="1"/>
    <col min="10" max="10" width="2.42578125" customWidth="1"/>
    <col min="11" max="11" width="10.42578125" customWidth="1"/>
    <col min="12" max="13" width="12.28515625" customWidth="1"/>
    <col min="14" max="15" width="11.28515625" customWidth="1"/>
    <col min="16" max="17" width="10.85546875" customWidth="1"/>
    <col min="18" max="19" width="11.140625" customWidth="1"/>
    <col min="20" max="21" width="10.5703125" customWidth="1"/>
    <col min="22" max="22" width="10.7109375" customWidth="1"/>
    <col min="23" max="23" width="3" customWidth="1"/>
    <col min="24" max="24" width="11.42578125" customWidth="1"/>
  </cols>
  <sheetData>
    <row r="1" spans="1:24" ht="15.75" customHeight="1">
      <c r="A1" s="128" t="s">
        <v>122</v>
      </c>
      <c r="B1" s="129"/>
      <c r="C1" s="292"/>
      <c r="D1" s="129"/>
      <c r="E1" s="129"/>
      <c r="F1" s="129"/>
      <c r="G1" s="129"/>
      <c r="H1" s="129"/>
      <c r="I1" s="129"/>
      <c r="J1" s="129"/>
      <c r="K1" s="129"/>
      <c r="L1" s="130"/>
      <c r="M1" s="130"/>
      <c r="N1" s="129"/>
      <c r="O1" s="129"/>
      <c r="P1" s="129"/>
      <c r="Q1" s="129"/>
      <c r="R1" s="129"/>
      <c r="S1" s="129"/>
      <c r="T1" s="129"/>
      <c r="U1" s="129"/>
      <c r="V1" s="129"/>
      <c r="W1" s="129"/>
      <c r="X1" s="129"/>
    </row>
    <row r="2" spans="1:24" ht="15.75" customHeight="1">
      <c r="A2" s="128" t="s">
        <v>386</v>
      </c>
      <c r="B2" s="129"/>
      <c r="C2" s="292"/>
      <c r="D2" s="129"/>
      <c r="E2" s="129"/>
      <c r="F2" s="129"/>
      <c r="G2" s="129"/>
      <c r="H2" s="129"/>
      <c r="I2" s="129"/>
      <c r="J2" s="129"/>
      <c r="K2" s="129"/>
      <c r="L2" s="129"/>
      <c r="M2" s="129"/>
      <c r="N2" s="129"/>
      <c r="O2" s="129"/>
      <c r="P2" s="129"/>
      <c r="Q2" s="129"/>
      <c r="R2" s="129"/>
      <c r="S2" s="129"/>
      <c r="T2" s="129"/>
      <c r="U2" s="129"/>
      <c r="V2" s="129"/>
      <c r="W2" s="129"/>
      <c r="X2" s="129"/>
    </row>
    <row r="3" spans="1:24" ht="15.75" customHeight="1">
      <c r="A3" s="293"/>
      <c r="B3" s="294"/>
      <c r="C3" s="292"/>
      <c r="D3" s="129"/>
      <c r="E3" s="129"/>
      <c r="F3" s="129"/>
      <c r="G3" s="129"/>
      <c r="H3" s="129"/>
      <c r="I3" s="129"/>
      <c r="J3" s="129"/>
      <c r="K3" s="129"/>
      <c r="L3" s="129"/>
      <c r="M3" s="129"/>
      <c r="N3" s="129"/>
      <c r="O3" s="129"/>
      <c r="P3" s="129"/>
      <c r="Q3" s="129"/>
      <c r="R3" s="135"/>
      <c r="S3" s="135"/>
      <c r="T3" s="129"/>
      <c r="U3" s="129"/>
      <c r="V3" s="129"/>
      <c r="W3" s="129"/>
      <c r="X3" s="129"/>
    </row>
    <row r="4" spans="1:24" ht="38.25" customHeight="1">
      <c r="A4" s="128" t="s">
        <v>126</v>
      </c>
      <c r="B4" s="129"/>
      <c r="C4" s="137" t="s">
        <v>127</v>
      </c>
      <c r="D4" s="140" t="s">
        <v>128</v>
      </c>
      <c r="E4" s="140" t="s">
        <v>129</v>
      </c>
      <c r="F4" s="140" t="s">
        <v>130</v>
      </c>
      <c r="G4" s="140" t="s">
        <v>131</v>
      </c>
      <c r="H4" s="298"/>
      <c r="I4" s="299" t="s">
        <v>298</v>
      </c>
      <c r="J4" s="298"/>
      <c r="K4" s="142">
        <v>45474</v>
      </c>
      <c r="L4" s="142">
        <v>45505</v>
      </c>
      <c r="M4" s="142">
        <v>45536</v>
      </c>
      <c r="N4" s="142">
        <v>45566</v>
      </c>
      <c r="O4" s="142">
        <v>45597</v>
      </c>
      <c r="P4" s="142">
        <v>45627</v>
      </c>
      <c r="Q4" s="142">
        <v>45658</v>
      </c>
      <c r="R4" s="142">
        <v>45689</v>
      </c>
      <c r="S4" s="142">
        <v>45717</v>
      </c>
      <c r="T4" s="142">
        <v>45748</v>
      </c>
      <c r="U4" s="142">
        <v>45778</v>
      </c>
      <c r="V4" s="142">
        <v>45809</v>
      </c>
      <c r="W4" s="395"/>
      <c r="X4" s="202" t="s">
        <v>132</v>
      </c>
    </row>
    <row r="5" spans="1:24" ht="30" customHeight="1">
      <c r="A5" s="128"/>
      <c r="B5" s="129" t="s">
        <v>358</v>
      </c>
      <c r="C5" s="292">
        <v>90000</v>
      </c>
      <c r="D5" s="210">
        <v>4175.41</v>
      </c>
      <c r="E5" s="67">
        <v>6000</v>
      </c>
      <c r="F5" s="67">
        <v>37500</v>
      </c>
      <c r="G5" s="210">
        <f t="shared" ref="G5:G6" si="0">F5-C5</f>
        <v>-52500</v>
      </c>
      <c r="H5" s="249"/>
      <c r="I5" s="423" t="s">
        <v>387</v>
      </c>
      <c r="J5" s="249"/>
      <c r="K5" s="424">
        <v>0</v>
      </c>
      <c r="L5" s="214">
        <v>4600</v>
      </c>
      <c r="M5" s="214">
        <v>4600</v>
      </c>
      <c r="N5" s="214">
        <v>3450</v>
      </c>
      <c r="O5" s="214">
        <v>3450</v>
      </c>
      <c r="P5" s="214">
        <v>3000</v>
      </c>
      <c r="Q5" s="214">
        <v>3450</v>
      </c>
      <c r="R5" s="214">
        <v>3450</v>
      </c>
      <c r="S5" s="214">
        <v>4600</v>
      </c>
      <c r="T5" s="214">
        <v>3450</v>
      </c>
      <c r="U5" s="214">
        <v>3450</v>
      </c>
      <c r="V5" s="214">
        <v>0</v>
      </c>
      <c r="W5" s="301"/>
      <c r="X5" s="214">
        <f>SUM(K5:V5)</f>
        <v>37500</v>
      </c>
    </row>
    <row r="6" spans="1:24" ht="15.75" customHeight="1">
      <c r="A6" s="128" t="s">
        <v>153</v>
      </c>
      <c r="B6" s="128"/>
      <c r="C6" s="335">
        <f t="shared" ref="C6:F6" si="1">SUM(C5)</f>
        <v>90000</v>
      </c>
      <c r="D6" s="190">
        <f t="shared" si="1"/>
        <v>4175.41</v>
      </c>
      <c r="E6" s="190">
        <f t="shared" si="1"/>
        <v>6000</v>
      </c>
      <c r="F6" s="190">
        <f t="shared" si="1"/>
        <v>37500</v>
      </c>
      <c r="G6" s="425">
        <f t="shared" si="0"/>
        <v>-52500</v>
      </c>
      <c r="H6" s="192"/>
      <c r="I6" s="190"/>
      <c r="J6" s="192"/>
      <c r="K6" s="398">
        <f t="shared" ref="K6:U6" si="2">SUM(K5)</f>
        <v>0</v>
      </c>
      <c r="L6" s="398">
        <f t="shared" si="2"/>
        <v>4600</v>
      </c>
      <c r="M6" s="398">
        <f t="shared" si="2"/>
        <v>4600</v>
      </c>
      <c r="N6" s="398">
        <f t="shared" si="2"/>
        <v>3450</v>
      </c>
      <c r="O6" s="398">
        <f t="shared" si="2"/>
        <v>3450</v>
      </c>
      <c r="P6" s="398">
        <f t="shared" si="2"/>
        <v>3000</v>
      </c>
      <c r="Q6" s="398">
        <f t="shared" si="2"/>
        <v>3450</v>
      </c>
      <c r="R6" s="398">
        <f t="shared" si="2"/>
        <v>3450</v>
      </c>
      <c r="S6" s="398">
        <f t="shared" si="2"/>
        <v>4600</v>
      </c>
      <c r="T6" s="398">
        <f t="shared" si="2"/>
        <v>3450</v>
      </c>
      <c r="U6" s="398">
        <f t="shared" si="2"/>
        <v>3450</v>
      </c>
      <c r="V6" s="398">
        <v>5000</v>
      </c>
      <c r="W6" s="194"/>
      <c r="X6" s="398">
        <f>SUM(X5)</f>
        <v>37500</v>
      </c>
    </row>
    <row r="7" spans="1:24" ht="15.75" customHeight="1">
      <c r="A7" s="128"/>
      <c r="B7" s="129"/>
      <c r="C7" s="292"/>
      <c r="D7" s="135"/>
      <c r="E7" s="135"/>
      <c r="F7" s="135"/>
      <c r="G7" s="135"/>
      <c r="H7" s="135"/>
      <c r="I7" s="135"/>
      <c r="J7" s="135"/>
      <c r="K7" s="135"/>
      <c r="L7" s="135"/>
      <c r="M7" s="135"/>
      <c r="N7" s="135"/>
      <c r="O7" s="135"/>
      <c r="P7" s="135"/>
      <c r="Q7" s="135"/>
      <c r="R7" s="135"/>
      <c r="S7" s="135"/>
      <c r="T7" s="135"/>
      <c r="U7" s="135"/>
      <c r="V7" s="135"/>
      <c r="W7" s="135"/>
      <c r="X7" s="135"/>
    </row>
    <row r="8" spans="1:24" ht="39.75" customHeight="1">
      <c r="A8" s="128" t="s">
        <v>154</v>
      </c>
      <c r="B8" s="129"/>
      <c r="C8" s="137"/>
      <c r="D8" s="140"/>
      <c r="E8" s="140"/>
      <c r="F8" s="140"/>
      <c r="G8" s="140"/>
      <c r="H8" s="295"/>
      <c r="I8" s="295"/>
      <c r="J8" s="295"/>
      <c r="K8" s="295"/>
      <c r="L8" s="295"/>
      <c r="M8" s="295"/>
      <c r="N8" s="295"/>
      <c r="O8" s="295"/>
      <c r="P8" s="295"/>
      <c r="Q8" s="295"/>
      <c r="R8" s="295"/>
      <c r="S8" s="295"/>
      <c r="T8" s="295"/>
      <c r="U8" s="295"/>
      <c r="V8" s="295"/>
      <c r="W8" s="295"/>
      <c r="X8" s="295"/>
    </row>
    <row r="9" spans="1:24" ht="15.75" customHeight="1">
      <c r="A9" s="128"/>
      <c r="B9" s="346" t="s">
        <v>360</v>
      </c>
      <c r="C9" s="347">
        <v>60000</v>
      </c>
      <c r="D9" s="67">
        <v>30310</v>
      </c>
      <c r="E9" s="67">
        <v>27000</v>
      </c>
      <c r="F9" s="67">
        <v>53520</v>
      </c>
      <c r="G9" s="67">
        <f t="shared" ref="G9:G11" si="3">F9-C9</f>
        <v>-6480</v>
      </c>
      <c r="H9" s="317"/>
      <c r="I9" s="372" t="s">
        <v>388</v>
      </c>
      <c r="J9" s="317"/>
      <c r="K9" s="348">
        <f>24000/12</f>
        <v>2000</v>
      </c>
      <c r="L9" s="348">
        <f t="shared" ref="L9:U9" si="4">24000/12+29520/10</f>
        <v>4952</v>
      </c>
      <c r="M9" s="348">
        <f t="shared" si="4"/>
        <v>4952</v>
      </c>
      <c r="N9" s="348">
        <f t="shared" si="4"/>
        <v>4952</v>
      </c>
      <c r="O9" s="348">
        <f t="shared" si="4"/>
        <v>4952</v>
      </c>
      <c r="P9" s="348">
        <f t="shared" si="4"/>
        <v>4952</v>
      </c>
      <c r="Q9" s="348">
        <f t="shared" si="4"/>
        <v>4952</v>
      </c>
      <c r="R9" s="348">
        <f t="shared" si="4"/>
        <v>4952</v>
      </c>
      <c r="S9" s="348">
        <f t="shared" si="4"/>
        <v>4952</v>
      </c>
      <c r="T9" s="348">
        <f t="shared" si="4"/>
        <v>4952</v>
      </c>
      <c r="U9" s="348">
        <f t="shared" si="4"/>
        <v>4952</v>
      </c>
      <c r="V9" s="348">
        <f>24000/12</f>
        <v>2000</v>
      </c>
      <c r="W9" s="426"/>
      <c r="X9" s="349">
        <f t="shared" ref="X9:X10" si="5">SUM(K9:V9)</f>
        <v>53520</v>
      </c>
    </row>
    <row r="10" spans="1:24" ht="33" customHeight="1">
      <c r="A10" s="128"/>
      <c r="B10" s="129" t="s">
        <v>361</v>
      </c>
      <c r="C10" s="320">
        <v>8000</v>
      </c>
      <c r="D10" s="351">
        <v>1068.6300000000001</v>
      </c>
      <c r="E10" s="351">
        <v>2000</v>
      </c>
      <c r="F10" s="351">
        <v>5000</v>
      </c>
      <c r="G10" s="67">
        <f t="shared" si="3"/>
        <v>-3000</v>
      </c>
      <c r="H10" s="211"/>
      <c r="I10" s="427" t="s">
        <v>389</v>
      </c>
      <c r="J10" s="211"/>
      <c r="K10" s="212">
        <v>0</v>
      </c>
      <c r="L10" s="212">
        <v>500</v>
      </c>
      <c r="M10" s="212">
        <v>500</v>
      </c>
      <c r="N10" s="212">
        <v>500</v>
      </c>
      <c r="O10" s="212">
        <v>500</v>
      </c>
      <c r="P10" s="212">
        <v>500</v>
      </c>
      <c r="Q10" s="212">
        <v>500</v>
      </c>
      <c r="R10" s="212">
        <v>500</v>
      </c>
      <c r="S10" s="212">
        <v>500</v>
      </c>
      <c r="T10" s="212">
        <v>500</v>
      </c>
      <c r="U10" s="212">
        <v>500</v>
      </c>
      <c r="V10" s="212">
        <v>0</v>
      </c>
      <c r="W10" s="393"/>
      <c r="X10" s="212">
        <f t="shared" si="5"/>
        <v>5000</v>
      </c>
    </row>
    <row r="11" spans="1:24" ht="15.75" customHeight="1">
      <c r="A11" s="128" t="s">
        <v>305</v>
      </c>
      <c r="B11" s="128"/>
      <c r="C11" s="384">
        <f t="shared" ref="C11:F11" si="6">C10+C9</f>
        <v>68000</v>
      </c>
      <c r="D11" s="354">
        <f t="shared" si="6"/>
        <v>31378.63</v>
      </c>
      <c r="E11" s="354">
        <f t="shared" si="6"/>
        <v>29000</v>
      </c>
      <c r="F11" s="354">
        <f t="shared" si="6"/>
        <v>58520</v>
      </c>
      <c r="G11" s="353">
        <f t="shared" si="3"/>
        <v>-9480</v>
      </c>
      <c r="H11" s="219"/>
      <c r="I11" s="354"/>
      <c r="J11" s="219"/>
      <c r="K11" s="323">
        <f t="shared" ref="K11:V11" si="7">K10+K9</f>
        <v>2000</v>
      </c>
      <c r="L11" s="323">
        <f t="shared" si="7"/>
        <v>5452</v>
      </c>
      <c r="M11" s="323">
        <f t="shared" si="7"/>
        <v>5452</v>
      </c>
      <c r="N11" s="323">
        <f t="shared" si="7"/>
        <v>5452</v>
      </c>
      <c r="O11" s="323">
        <f t="shared" si="7"/>
        <v>5452</v>
      </c>
      <c r="P11" s="323">
        <f t="shared" si="7"/>
        <v>5452</v>
      </c>
      <c r="Q11" s="323">
        <f t="shared" si="7"/>
        <v>5452</v>
      </c>
      <c r="R11" s="323">
        <f t="shared" si="7"/>
        <v>5452</v>
      </c>
      <c r="S11" s="323">
        <f t="shared" si="7"/>
        <v>5452</v>
      </c>
      <c r="T11" s="323">
        <f t="shared" si="7"/>
        <v>5452</v>
      </c>
      <c r="U11" s="323">
        <f t="shared" si="7"/>
        <v>5452</v>
      </c>
      <c r="V11" s="323">
        <f t="shared" si="7"/>
        <v>2000</v>
      </c>
      <c r="W11" s="394"/>
      <c r="X11" s="323">
        <f>X10+X9</f>
        <v>58520</v>
      </c>
    </row>
    <row r="12" spans="1:24" ht="15.75" customHeight="1">
      <c r="C12" s="328"/>
      <c r="D12" s="289"/>
      <c r="E12" s="289"/>
      <c r="F12" s="289"/>
      <c r="G12" s="289"/>
      <c r="H12" s="289"/>
      <c r="I12" s="289"/>
      <c r="J12" s="289"/>
      <c r="K12" s="289"/>
      <c r="L12" s="289"/>
      <c r="M12" s="289"/>
      <c r="N12" s="289"/>
      <c r="O12" s="289"/>
      <c r="P12" s="289"/>
      <c r="Q12" s="289"/>
      <c r="R12" s="289"/>
      <c r="S12" s="289"/>
      <c r="T12" s="289"/>
      <c r="U12" s="289"/>
      <c r="V12" s="289"/>
      <c r="W12" s="289"/>
      <c r="X12" s="289"/>
    </row>
    <row r="13" spans="1:24" ht="15.75" customHeight="1">
      <c r="C13" s="328"/>
      <c r="D13" s="289"/>
      <c r="E13" s="289"/>
      <c r="F13" s="289"/>
      <c r="G13" s="289"/>
      <c r="H13" s="289"/>
      <c r="I13" s="289"/>
      <c r="J13" s="289"/>
      <c r="K13" s="289"/>
      <c r="L13" s="289"/>
      <c r="M13" s="289"/>
      <c r="N13" s="289"/>
      <c r="O13" s="289"/>
      <c r="P13" s="289"/>
      <c r="Q13" s="289"/>
      <c r="R13" s="289"/>
      <c r="S13" s="289"/>
      <c r="T13" s="289"/>
      <c r="U13" s="289"/>
      <c r="V13" s="289"/>
      <c r="W13" s="289"/>
      <c r="X13" s="289"/>
    </row>
    <row r="14" spans="1:24" ht="15.75" customHeight="1">
      <c r="C14" s="328"/>
      <c r="D14" s="289"/>
      <c r="E14" s="289"/>
      <c r="F14" s="289"/>
      <c r="G14" s="289"/>
      <c r="H14" s="289"/>
      <c r="I14" s="289"/>
      <c r="J14" s="289"/>
      <c r="K14" s="428" t="s">
        <v>390</v>
      </c>
      <c r="L14" s="428"/>
      <c r="M14" s="428"/>
      <c r="N14" s="428"/>
      <c r="O14" s="428"/>
      <c r="P14" s="428"/>
      <c r="Q14" s="289"/>
      <c r="R14" s="289"/>
      <c r="S14" s="289"/>
      <c r="T14" s="289"/>
      <c r="U14" s="289"/>
      <c r="V14" s="289"/>
      <c r="W14" s="289"/>
      <c r="X14" s="289"/>
    </row>
    <row r="15" spans="1:24" ht="15.75" customHeight="1">
      <c r="C15" s="328"/>
      <c r="D15" s="289"/>
      <c r="E15" s="289"/>
      <c r="F15" s="289"/>
      <c r="G15" s="289"/>
      <c r="H15" s="289"/>
      <c r="I15" s="289"/>
      <c r="J15" s="289"/>
      <c r="K15" s="428" t="s">
        <v>391</v>
      </c>
      <c r="L15" s="428"/>
      <c r="M15" s="428"/>
      <c r="N15" s="428"/>
      <c r="O15" s="428"/>
      <c r="P15" s="428"/>
      <c r="Q15" s="289"/>
      <c r="R15" s="289"/>
      <c r="S15" s="289"/>
      <c r="T15" s="289"/>
      <c r="U15" s="289"/>
      <c r="V15" s="289"/>
      <c r="W15" s="289"/>
      <c r="X15" s="289"/>
    </row>
    <row r="16" spans="1:24" ht="15.75" customHeight="1">
      <c r="C16" s="328"/>
      <c r="D16" s="289"/>
      <c r="E16" s="289"/>
      <c r="F16" s="289"/>
      <c r="G16" s="289"/>
      <c r="H16" s="289"/>
      <c r="I16" s="289"/>
      <c r="J16" s="289"/>
      <c r="K16" s="289"/>
      <c r="L16" s="289"/>
      <c r="M16" s="289"/>
      <c r="N16" s="289"/>
      <c r="O16" s="289"/>
      <c r="P16" s="289"/>
      <c r="Q16" s="289"/>
      <c r="R16" s="289"/>
      <c r="S16" s="289"/>
      <c r="T16" s="289"/>
      <c r="U16" s="289"/>
      <c r="V16" s="289"/>
      <c r="W16" s="289"/>
      <c r="X16" s="289"/>
    </row>
    <row r="17" spans="3:24" ht="15.75" customHeight="1">
      <c r="C17" s="328"/>
      <c r="D17" s="289"/>
      <c r="E17" s="289"/>
      <c r="F17" s="289"/>
      <c r="G17" s="289"/>
      <c r="H17" s="289"/>
      <c r="I17" s="289"/>
      <c r="J17" s="289"/>
      <c r="K17" s="289"/>
      <c r="L17" s="289"/>
      <c r="M17" s="289"/>
      <c r="N17" s="289"/>
      <c r="O17" s="289"/>
      <c r="P17" s="289"/>
      <c r="Q17" s="289"/>
      <c r="R17" s="289"/>
      <c r="S17" s="289"/>
      <c r="T17" s="289"/>
      <c r="U17" s="289"/>
      <c r="V17" s="289"/>
      <c r="W17" s="289"/>
      <c r="X17" s="289"/>
    </row>
    <row r="18" spans="3:24" ht="15.75" customHeight="1">
      <c r="C18" s="328"/>
      <c r="D18" s="289"/>
      <c r="E18" s="289"/>
      <c r="F18" s="289"/>
      <c r="G18" s="289"/>
      <c r="H18" s="289"/>
      <c r="I18" s="289"/>
      <c r="J18" s="289"/>
      <c r="K18" s="289"/>
      <c r="L18" s="289"/>
      <c r="M18" s="289"/>
      <c r="N18" s="289"/>
      <c r="O18" s="289"/>
      <c r="P18" s="289"/>
      <c r="Q18" s="289"/>
      <c r="R18" s="289"/>
      <c r="S18" s="289"/>
      <c r="T18" s="289"/>
      <c r="U18" s="289"/>
      <c r="V18" s="289"/>
      <c r="W18" s="289"/>
      <c r="X18" s="289"/>
    </row>
    <row r="19" spans="3:24" ht="15.75" customHeight="1">
      <c r="C19" s="328"/>
      <c r="D19" s="289"/>
      <c r="E19" s="289"/>
      <c r="F19" s="289"/>
      <c r="G19" s="289"/>
      <c r="H19" s="289"/>
      <c r="I19" s="289"/>
      <c r="J19" s="289"/>
      <c r="K19" s="289"/>
      <c r="L19" s="289"/>
      <c r="M19" s="289"/>
      <c r="N19" s="289"/>
      <c r="O19" s="289"/>
      <c r="P19" s="289"/>
      <c r="Q19" s="289"/>
      <c r="R19" s="289"/>
      <c r="S19" s="289"/>
      <c r="T19" s="289"/>
      <c r="U19" s="289"/>
      <c r="V19" s="289"/>
      <c r="W19" s="289"/>
      <c r="X19" s="289"/>
    </row>
    <row r="20" spans="3:24" ht="15.75" customHeight="1">
      <c r="C20" s="328"/>
      <c r="D20" s="289"/>
      <c r="E20" s="289"/>
      <c r="F20" s="289"/>
      <c r="G20" s="289"/>
      <c r="H20" s="289"/>
      <c r="I20" s="289"/>
      <c r="J20" s="289"/>
      <c r="K20" s="289"/>
      <c r="L20" s="289"/>
      <c r="M20" s="289"/>
      <c r="N20" s="289"/>
      <c r="O20" s="289"/>
      <c r="P20" s="289"/>
      <c r="Q20" s="289"/>
      <c r="R20" s="289"/>
      <c r="S20" s="289"/>
      <c r="T20" s="289"/>
      <c r="U20" s="289"/>
      <c r="V20" s="289"/>
      <c r="W20" s="289"/>
      <c r="X20" s="289"/>
    </row>
    <row r="21" spans="3:24" ht="15.75" customHeight="1">
      <c r="C21" s="328"/>
      <c r="D21" s="289"/>
      <c r="E21" s="289"/>
      <c r="F21" s="289"/>
      <c r="G21" s="289"/>
      <c r="H21" s="289"/>
      <c r="I21" s="289">
        <v>29520</v>
      </c>
      <c r="J21" s="289"/>
      <c r="K21" s="289"/>
      <c r="L21" s="289"/>
      <c r="M21" s="289"/>
      <c r="N21" s="289"/>
      <c r="O21" s="289"/>
      <c r="P21" s="289"/>
      <c r="Q21" s="289"/>
      <c r="R21" s="289"/>
      <c r="S21" s="289"/>
      <c r="T21" s="289"/>
      <c r="U21" s="289"/>
      <c r="V21" s="289"/>
      <c r="W21" s="289"/>
      <c r="X21" s="289"/>
    </row>
    <row r="22" spans="3:24" ht="15.75" customHeight="1">
      <c r="C22" s="328"/>
      <c r="D22" s="289"/>
      <c r="E22" s="289"/>
      <c r="F22" s="289"/>
      <c r="G22" s="289"/>
      <c r="H22" s="289"/>
      <c r="I22" s="289"/>
      <c r="J22" s="289"/>
      <c r="K22" s="289"/>
      <c r="L22" s="289"/>
      <c r="M22" s="289"/>
      <c r="N22" s="289"/>
      <c r="O22" s="289"/>
      <c r="P22" s="289"/>
      <c r="Q22" s="289"/>
      <c r="R22" s="289"/>
      <c r="S22" s="289"/>
      <c r="T22" s="289"/>
      <c r="U22" s="289"/>
      <c r="V22" s="289"/>
      <c r="W22" s="289"/>
      <c r="X22" s="289"/>
    </row>
    <row r="23" spans="3:24" ht="15.75" customHeight="1">
      <c r="C23" s="328"/>
      <c r="D23" s="289"/>
      <c r="E23" s="289"/>
      <c r="F23" s="289"/>
      <c r="G23" s="289"/>
      <c r="H23" s="289"/>
      <c r="I23" s="289"/>
      <c r="J23" s="289"/>
      <c r="K23" s="289"/>
      <c r="L23" s="289"/>
      <c r="M23" s="289"/>
      <c r="N23" s="289"/>
      <c r="O23" s="289"/>
      <c r="P23" s="289"/>
      <c r="Q23" s="289"/>
      <c r="R23" s="289"/>
      <c r="S23" s="289"/>
      <c r="T23" s="289"/>
      <c r="U23" s="289"/>
      <c r="V23" s="289"/>
      <c r="W23" s="289"/>
      <c r="X23" s="289"/>
    </row>
    <row r="24" spans="3:24" ht="15.75" customHeight="1">
      <c r="C24" s="328"/>
      <c r="D24" s="289"/>
      <c r="E24" s="289"/>
      <c r="F24" s="289"/>
      <c r="G24" s="289"/>
      <c r="H24" s="289"/>
      <c r="I24" s="289"/>
      <c r="J24" s="289"/>
      <c r="K24" s="289"/>
      <c r="L24" s="289"/>
      <c r="M24" s="289"/>
      <c r="N24" s="289"/>
      <c r="O24" s="289"/>
      <c r="P24" s="289"/>
      <c r="Q24" s="289"/>
      <c r="R24" s="289"/>
      <c r="S24" s="289"/>
      <c r="T24" s="289"/>
      <c r="U24" s="289"/>
      <c r="V24" s="289"/>
      <c r="W24" s="289"/>
      <c r="X24" s="289"/>
    </row>
    <row r="25" spans="3:24" ht="15.75" customHeight="1">
      <c r="C25" s="328"/>
      <c r="D25" s="289"/>
      <c r="E25" s="289"/>
      <c r="F25" s="289"/>
      <c r="G25" s="289"/>
      <c r="H25" s="289"/>
      <c r="I25" s="289"/>
      <c r="J25" s="289"/>
      <c r="K25" s="289"/>
      <c r="L25" s="289"/>
      <c r="M25" s="289"/>
      <c r="N25" s="289"/>
      <c r="O25" s="289"/>
      <c r="P25" s="289"/>
      <c r="Q25" s="289"/>
      <c r="R25" s="289"/>
      <c r="S25" s="289"/>
      <c r="T25" s="289"/>
      <c r="U25" s="289"/>
      <c r="V25" s="289"/>
      <c r="W25" s="289"/>
      <c r="X25" s="289"/>
    </row>
    <row r="26" spans="3:24" ht="15.75" customHeight="1">
      <c r="C26" s="328"/>
      <c r="D26" s="289"/>
      <c r="E26" s="289"/>
      <c r="F26" s="289"/>
      <c r="G26" s="289"/>
      <c r="H26" s="289"/>
      <c r="I26" s="289"/>
      <c r="J26" s="289"/>
      <c r="K26" s="289"/>
      <c r="L26" s="289"/>
      <c r="M26" s="289"/>
      <c r="N26" s="289"/>
      <c r="O26" s="289"/>
      <c r="P26" s="289"/>
      <c r="Q26" s="289"/>
      <c r="R26" s="289"/>
      <c r="S26" s="289"/>
      <c r="T26" s="289"/>
      <c r="U26" s="289"/>
      <c r="V26" s="289"/>
      <c r="W26" s="289"/>
      <c r="X26" s="289"/>
    </row>
    <row r="27" spans="3:24" ht="15.75" customHeight="1">
      <c r="C27" s="328"/>
      <c r="D27" s="289"/>
      <c r="E27" s="289"/>
      <c r="F27" s="289"/>
      <c r="G27" s="289"/>
      <c r="H27" s="289"/>
      <c r="I27" s="289"/>
      <c r="J27" s="289"/>
      <c r="K27" s="289"/>
      <c r="L27" s="289"/>
      <c r="M27" s="289"/>
      <c r="N27" s="289"/>
      <c r="O27" s="289"/>
      <c r="P27" s="289"/>
      <c r="Q27" s="289"/>
      <c r="R27" s="289"/>
      <c r="S27" s="289"/>
      <c r="T27" s="289"/>
      <c r="U27" s="289"/>
      <c r="V27" s="289"/>
      <c r="W27" s="289"/>
      <c r="X27" s="289"/>
    </row>
    <row r="28" spans="3:24" ht="15.75" customHeight="1">
      <c r="C28" s="328"/>
      <c r="D28" s="289"/>
      <c r="E28" s="289"/>
      <c r="F28" s="289"/>
      <c r="G28" s="289"/>
      <c r="H28" s="289"/>
      <c r="I28" s="289"/>
      <c r="J28" s="289"/>
      <c r="K28" s="289"/>
      <c r="L28" s="289"/>
      <c r="M28" s="289"/>
      <c r="N28" s="289"/>
      <c r="O28" s="289"/>
      <c r="P28" s="289"/>
      <c r="Q28" s="289"/>
      <c r="R28" s="289"/>
      <c r="S28" s="289"/>
      <c r="T28" s="289"/>
      <c r="U28" s="289"/>
      <c r="V28" s="289"/>
      <c r="W28" s="289"/>
      <c r="X28" s="289"/>
    </row>
    <row r="29" spans="3:24" ht="15.75" customHeight="1">
      <c r="C29" s="328"/>
      <c r="D29" s="289"/>
      <c r="E29" s="289"/>
      <c r="F29" s="289"/>
      <c r="G29" s="289"/>
      <c r="H29" s="289"/>
      <c r="I29" s="289"/>
      <c r="J29" s="289"/>
      <c r="K29" s="289"/>
      <c r="L29" s="289"/>
      <c r="M29" s="289"/>
      <c r="N29" s="289"/>
      <c r="O29" s="289"/>
      <c r="P29" s="289"/>
      <c r="Q29" s="289"/>
      <c r="R29" s="289"/>
      <c r="S29" s="289"/>
      <c r="T29" s="289"/>
      <c r="U29" s="289"/>
      <c r="V29" s="289"/>
      <c r="W29" s="289"/>
      <c r="X29" s="289"/>
    </row>
    <row r="30" spans="3:24" ht="15.75" customHeight="1">
      <c r="C30" s="328"/>
      <c r="D30" s="289"/>
      <c r="E30" s="289"/>
      <c r="F30" s="289"/>
      <c r="G30" s="289"/>
      <c r="H30" s="289"/>
      <c r="I30" s="289"/>
      <c r="J30" s="289"/>
      <c r="K30" s="289"/>
      <c r="L30" s="289"/>
      <c r="M30" s="289"/>
      <c r="N30" s="289"/>
      <c r="O30" s="289"/>
      <c r="P30" s="289"/>
      <c r="Q30" s="289"/>
      <c r="R30" s="289"/>
      <c r="S30" s="289"/>
      <c r="T30" s="289"/>
      <c r="U30" s="289"/>
      <c r="V30" s="289"/>
      <c r="W30" s="289"/>
      <c r="X30" s="289"/>
    </row>
    <row r="31" spans="3:24" ht="15.75" customHeight="1">
      <c r="C31" s="328"/>
      <c r="D31" s="289"/>
      <c r="E31" s="289"/>
      <c r="F31" s="289"/>
      <c r="G31" s="289"/>
      <c r="H31" s="289"/>
      <c r="I31" s="289"/>
      <c r="J31" s="289"/>
      <c r="K31" s="289"/>
      <c r="L31" s="289"/>
      <c r="M31" s="289"/>
      <c r="N31" s="289"/>
      <c r="O31" s="289"/>
      <c r="P31" s="289"/>
      <c r="Q31" s="289"/>
      <c r="R31" s="289"/>
      <c r="S31" s="289"/>
      <c r="T31" s="289"/>
      <c r="U31" s="289"/>
      <c r="V31" s="289"/>
      <c r="W31" s="289"/>
      <c r="X31" s="289"/>
    </row>
    <row r="32" spans="3:24" ht="15.75" customHeight="1">
      <c r="C32" s="328"/>
      <c r="D32" s="289"/>
      <c r="E32" s="289"/>
      <c r="F32" s="289"/>
      <c r="G32" s="289"/>
      <c r="H32" s="289"/>
      <c r="I32" s="289"/>
      <c r="J32" s="289"/>
      <c r="K32" s="289"/>
      <c r="L32" s="289"/>
      <c r="M32" s="289"/>
      <c r="N32" s="289"/>
      <c r="O32" s="289"/>
      <c r="P32" s="289"/>
      <c r="Q32" s="289"/>
      <c r="R32" s="289"/>
      <c r="S32" s="289"/>
      <c r="T32" s="289"/>
      <c r="U32" s="289"/>
      <c r="V32" s="289"/>
      <c r="W32" s="289"/>
      <c r="X32" s="289"/>
    </row>
    <row r="33" spans="3:24" ht="15.75" customHeight="1">
      <c r="C33" s="328"/>
      <c r="D33" s="289"/>
      <c r="E33" s="289"/>
      <c r="F33" s="289"/>
      <c r="G33" s="289"/>
      <c r="H33" s="289"/>
      <c r="I33" s="289"/>
      <c r="J33" s="289"/>
      <c r="K33" s="289"/>
      <c r="L33" s="289"/>
      <c r="M33" s="289"/>
      <c r="N33" s="289"/>
      <c r="O33" s="289"/>
      <c r="P33" s="289"/>
      <c r="Q33" s="289"/>
      <c r="R33" s="289"/>
      <c r="S33" s="289"/>
      <c r="T33" s="289"/>
      <c r="U33" s="289"/>
      <c r="V33" s="289"/>
      <c r="W33" s="289"/>
      <c r="X33" s="289"/>
    </row>
    <row r="34" spans="3:24" ht="15.75" customHeight="1">
      <c r="C34" s="328"/>
      <c r="D34" s="289"/>
      <c r="E34" s="289"/>
      <c r="F34" s="289"/>
      <c r="G34" s="289"/>
      <c r="H34" s="289"/>
      <c r="I34" s="289"/>
      <c r="J34" s="289"/>
      <c r="K34" s="289"/>
      <c r="L34" s="289"/>
      <c r="M34" s="289"/>
      <c r="N34" s="289"/>
      <c r="O34" s="289"/>
      <c r="P34" s="289"/>
      <c r="Q34" s="289"/>
      <c r="R34" s="289"/>
      <c r="S34" s="289"/>
      <c r="T34" s="289"/>
      <c r="U34" s="289"/>
      <c r="V34" s="289"/>
      <c r="W34" s="289"/>
      <c r="X34" s="289"/>
    </row>
    <row r="35" spans="3:24" ht="15.75" customHeight="1">
      <c r="C35" s="328"/>
      <c r="D35" s="289"/>
      <c r="E35" s="289"/>
      <c r="F35" s="289"/>
      <c r="G35" s="289"/>
      <c r="H35" s="289"/>
      <c r="I35" s="289"/>
      <c r="J35" s="289"/>
      <c r="K35" s="289"/>
      <c r="L35" s="289"/>
      <c r="M35" s="289"/>
      <c r="N35" s="289"/>
      <c r="O35" s="289"/>
      <c r="P35" s="289"/>
      <c r="Q35" s="289"/>
      <c r="R35" s="289"/>
      <c r="S35" s="289"/>
      <c r="T35" s="289"/>
      <c r="U35" s="289"/>
      <c r="V35" s="289"/>
      <c r="W35" s="289"/>
      <c r="X35" s="289"/>
    </row>
    <row r="36" spans="3:24" ht="15.75" customHeight="1">
      <c r="C36" s="328"/>
      <c r="D36" s="289"/>
      <c r="E36" s="289"/>
      <c r="F36" s="289"/>
      <c r="G36" s="289"/>
      <c r="H36" s="289"/>
      <c r="I36" s="289"/>
      <c r="J36" s="289"/>
      <c r="K36" s="289"/>
      <c r="L36" s="289"/>
      <c r="M36" s="289"/>
      <c r="N36" s="289"/>
      <c r="O36" s="289"/>
      <c r="P36" s="289"/>
      <c r="Q36" s="289"/>
      <c r="R36" s="289"/>
      <c r="S36" s="289"/>
      <c r="T36" s="289"/>
      <c r="U36" s="289"/>
      <c r="V36" s="289"/>
      <c r="W36" s="289"/>
      <c r="X36" s="289"/>
    </row>
    <row r="37" spans="3:24" ht="15.75" customHeight="1">
      <c r="C37" s="328"/>
      <c r="D37" s="289"/>
      <c r="E37" s="289"/>
      <c r="F37" s="289"/>
      <c r="G37" s="289"/>
      <c r="H37" s="289"/>
      <c r="I37" s="289"/>
      <c r="J37" s="289"/>
      <c r="K37" s="289"/>
      <c r="L37" s="289"/>
      <c r="M37" s="289"/>
      <c r="N37" s="289"/>
      <c r="O37" s="289"/>
      <c r="P37" s="289"/>
      <c r="Q37" s="289"/>
      <c r="R37" s="289"/>
      <c r="S37" s="289"/>
      <c r="T37" s="289"/>
      <c r="U37" s="289"/>
      <c r="V37" s="289"/>
      <c r="W37" s="289"/>
      <c r="X37" s="289"/>
    </row>
    <row r="38" spans="3:24" ht="15.75" customHeight="1">
      <c r="C38" s="328"/>
      <c r="D38" s="289"/>
      <c r="E38" s="289"/>
      <c r="F38" s="289"/>
      <c r="G38" s="289"/>
      <c r="H38" s="289"/>
      <c r="I38" s="289"/>
      <c r="J38" s="289"/>
      <c r="K38" s="289"/>
      <c r="L38" s="289"/>
      <c r="M38" s="289"/>
      <c r="N38" s="289"/>
      <c r="O38" s="289"/>
      <c r="P38" s="289"/>
      <c r="Q38" s="289"/>
      <c r="R38" s="289"/>
      <c r="S38" s="289"/>
      <c r="T38" s="289"/>
      <c r="U38" s="289"/>
      <c r="V38" s="289"/>
      <c r="W38" s="289"/>
      <c r="X38" s="289"/>
    </row>
    <row r="39" spans="3:24" ht="15.75" customHeight="1">
      <c r="C39" s="328"/>
      <c r="D39" s="289"/>
      <c r="E39" s="289"/>
      <c r="F39" s="289"/>
      <c r="G39" s="289"/>
      <c r="H39" s="289"/>
      <c r="I39" s="289"/>
      <c r="J39" s="289"/>
      <c r="K39" s="289"/>
      <c r="L39" s="289"/>
      <c r="M39" s="289"/>
      <c r="N39" s="289"/>
      <c r="O39" s="289"/>
      <c r="P39" s="289"/>
      <c r="Q39" s="289"/>
      <c r="R39" s="289"/>
      <c r="S39" s="289"/>
      <c r="T39" s="289"/>
      <c r="U39" s="289"/>
      <c r="V39" s="289"/>
      <c r="W39" s="289"/>
      <c r="X39" s="289"/>
    </row>
    <row r="40" spans="3:24" ht="15.75" customHeight="1">
      <c r="C40" s="328"/>
      <c r="D40" s="289"/>
      <c r="E40" s="289"/>
      <c r="F40" s="289"/>
      <c r="G40" s="289"/>
      <c r="H40" s="289"/>
      <c r="I40" s="289"/>
      <c r="J40" s="289"/>
      <c r="K40" s="289"/>
      <c r="L40" s="289"/>
      <c r="M40" s="289"/>
      <c r="N40" s="289"/>
      <c r="O40" s="289"/>
      <c r="P40" s="289"/>
      <c r="Q40" s="289"/>
      <c r="R40" s="289"/>
      <c r="S40" s="289"/>
      <c r="T40" s="289"/>
      <c r="U40" s="289"/>
      <c r="V40" s="289"/>
      <c r="W40" s="289"/>
      <c r="X40" s="289"/>
    </row>
    <row r="41" spans="3:24" ht="15.75" customHeight="1">
      <c r="C41" s="328"/>
      <c r="D41" s="289"/>
      <c r="E41" s="289"/>
      <c r="F41" s="289"/>
      <c r="G41" s="289"/>
      <c r="H41" s="289"/>
      <c r="I41" s="289"/>
      <c r="J41" s="289"/>
      <c r="K41" s="289"/>
      <c r="L41" s="289"/>
      <c r="M41" s="289"/>
      <c r="N41" s="289"/>
      <c r="O41" s="289"/>
      <c r="P41" s="289"/>
      <c r="Q41" s="289"/>
      <c r="R41" s="289"/>
      <c r="S41" s="289"/>
      <c r="T41" s="289"/>
      <c r="U41" s="289"/>
      <c r="V41" s="289"/>
      <c r="W41" s="289"/>
      <c r="X41" s="289"/>
    </row>
    <row r="42" spans="3:24" ht="15.75" customHeight="1">
      <c r="C42" s="328"/>
      <c r="D42" s="289"/>
      <c r="E42" s="289"/>
      <c r="F42" s="289"/>
      <c r="G42" s="289"/>
      <c r="H42" s="289"/>
      <c r="I42" s="289"/>
      <c r="J42" s="289"/>
      <c r="K42" s="289"/>
      <c r="L42" s="289"/>
      <c r="M42" s="289"/>
      <c r="N42" s="289"/>
      <c r="O42" s="289"/>
      <c r="P42" s="289"/>
      <c r="Q42" s="289"/>
      <c r="R42" s="289"/>
      <c r="S42" s="289"/>
      <c r="T42" s="289"/>
      <c r="U42" s="289"/>
      <c r="V42" s="289"/>
      <c r="W42" s="289"/>
      <c r="X42" s="289"/>
    </row>
    <row r="43" spans="3:24" ht="15.75" customHeight="1">
      <c r="C43" s="328"/>
      <c r="D43" s="289"/>
      <c r="E43" s="289"/>
      <c r="F43" s="289"/>
      <c r="G43" s="289"/>
      <c r="H43" s="289"/>
      <c r="I43" s="289"/>
      <c r="J43" s="289"/>
      <c r="K43" s="289"/>
      <c r="L43" s="289"/>
      <c r="M43" s="289"/>
      <c r="N43" s="289"/>
      <c r="O43" s="289"/>
      <c r="P43" s="289"/>
      <c r="Q43" s="289"/>
      <c r="R43" s="289"/>
      <c r="S43" s="289"/>
      <c r="T43" s="289"/>
      <c r="U43" s="289"/>
      <c r="V43" s="289"/>
      <c r="W43" s="289"/>
      <c r="X43" s="289"/>
    </row>
    <row r="44" spans="3:24" ht="15.75" customHeight="1">
      <c r="C44" s="328"/>
      <c r="D44" s="289"/>
      <c r="E44" s="289"/>
      <c r="F44" s="289"/>
      <c r="G44" s="289"/>
      <c r="H44" s="289"/>
      <c r="I44" s="289"/>
      <c r="J44" s="289"/>
      <c r="K44" s="289"/>
      <c r="L44" s="289"/>
      <c r="M44" s="289"/>
      <c r="N44" s="289"/>
      <c r="O44" s="289"/>
      <c r="P44" s="289"/>
      <c r="Q44" s="289"/>
      <c r="R44" s="289"/>
      <c r="S44" s="289"/>
      <c r="T44" s="289"/>
      <c r="U44" s="289"/>
      <c r="V44" s="289"/>
      <c r="W44" s="289"/>
      <c r="X44" s="289"/>
    </row>
    <row r="45" spans="3:24" ht="15.75" customHeight="1">
      <c r="C45" s="328"/>
      <c r="D45" s="289"/>
      <c r="E45" s="289"/>
      <c r="F45" s="289"/>
      <c r="G45" s="289"/>
      <c r="H45" s="289"/>
      <c r="I45" s="289"/>
      <c r="J45" s="289"/>
      <c r="K45" s="289"/>
      <c r="L45" s="289"/>
      <c r="M45" s="289"/>
      <c r="N45" s="289"/>
      <c r="O45" s="289"/>
      <c r="P45" s="289"/>
      <c r="Q45" s="289"/>
      <c r="R45" s="289"/>
      <c r="S45" s="289"/>
      <c r="T45" s="289"/>
      <c r="U45" s="289"/>
      <c r="V45" s="289"/>
      <c r="W45" s="289"/>
      <c r="X45" s="289"/>
    </row>
    <row r="46" spans="3:24" ht="15.75" customHeight="1">
      <c r="C46" s="328"/>
      <c r="D46" s="289"/>
      <c r="E46" s="289"/>
      <c r="F46" s="289"/>
      <c r="G46" s="289"/>
      <c r="H46" s="289"/>
      <c r="I46" s="289"/>
      <c r="J46" s="289"/>
      <c r="K46" s="289"/>
      <c r="L46" s="289"/>
      <c r="M46" s="289"/>
      <c r="N46" s="289"/>
      <c r="O46" s="289"/>
      <c r="P46" s="289"/>
      <c r="Q46" s="289"/>
      <c r="R46" s="289"/>
      <c r="S46" s="289"/>
      <c r="T46" s="289"/>
      <c r="U46" s="289"/>
      <c r="V46" s="289"/>
      <c r="W46" s="289"/>
      <c r="X46" s="289"/>
    </row>
    <row r="47" spans="3:24" ht="15.75" customHeight="1">
      <c r="C47" s="328"/>
      <c r="D47" s="289"/>
      <c r="E47" s="289"/>
      <c r="F47" s="289"/>
      <c r="G47" s="289"/>
      <c r="H47" s="289"/>
      <c r="I47" s="289"/>
      <c r="J47" s="289"/>
      <c r="K47" s="289"/>
      <c r="L47" s="289"/>
      <c r="M47" s="289"/>
      <c r="N47" s="289"/>
      <c r="O47" s="289"/>
      <c r="P47" s="289"/>
      <c r="Q47" s="289"/>
      <c r="R47" s="289"/>
      <c r="S47" s="289"/>
      <c r="T47" s="289"/>
      <c r="U47" s="289"/>
      <c r="V47" s="289"/>
      <c r="W47" s="289"/>
      <c r="X47" s="289"/>
    </row>
    <row r="48" spans="3:24" ht="15.75" customHeight="1">
      <c r="C48" s="328"/>
      <c r="D48" s="289"/>
      <c r="E48" s="289"/>
      <c r="F48" s="289"/>
      <c r="G48" s="289"/>
      <c r="H48" s="289"/>
      <c r="I48" s="289"/>
      <c r="J48" s="289"/>
      <c r="K48" s="289"/>
      <c r="L48" s="289"/>
      <c r="M48" s="289"/>
      <c r="N48" s="289"/>
      <c r="O48" s="289"/>
      <c r="P48" s="289"/>
      <c r="Q48" s="289"/>
      <c r="R48" s="289"/>
      <c r="S48" s="289"/>
      <c r="T48" s="289"/>
      <c r="U48" s="289"/>
      <c r="V48" s="289"/>
      <c r="W48" s="289"/>
      <c r="X48" s="289"/>
    </row>
    <row r="49" spans="3:24" ht="15.75" customHeight="1">
      <c r="C49" s="328"/>
      <c r="D49" s="289"/>
      <c r="E49" s="289"/>
      <c r="F49" s="289"/>
      <c r="G49" s="289"/>
      <c r="H49" s="289"/>
      <c r="I49" s="289"/>
      <c r="J49" s="289"/>
      <c r="K49" s="289"/>
      <c r="L49" s="289"/>
      <c r="M49" s="289"/>
      <c r="N49" s="289"/>
      <c r="O49" s="289"/>
      <c r="P49" s="289"/>
      <c r="Q49" s="289"/>
      <c r="R49" s="289"/>
      <c r="S49" s="289"/>
      <c r="T49" s="289"/>
      <c r="U49" s="289"/>
      <c r="V49" s="289"/>
      <c r="W49" s="289"/>
      <c r="X49" s="289"/>
    </row>
    <row r="50" spans="3:24" ht="15.75" customHeight="1">
      <c r="C50" s="328"/>
      <c r="D50" s="289"/>
      <c r="E50" s="289"/>
      <c r="F50" s="289"/>
      <c r="G50" s="289"/>
      <c r="H50" s="289"/>
      <c r="I50" s="289"/>
      <c r="J50" s="289"/>
      <c r="K50" s="289"/>
      <c r="L50" s="289"/>
      <c r="M50" s="289"/>
      <c r="N50" s="289"/>
      <c r="O50" s="289"/>
      <c r="P50" s="289"/>
      <c r="Q50" s="289"/>
      <c r="R50" s="289"/>
      <c r="S50" s="289"/>
      <c r="T50" s="289"/>
      <c r="U50" s="289"/>
      <c r="V50" s="289"/>
      <c r="W50" s="289"/>
      <c r="X50" s="289"/>
    </row>
    <row r="51" spans="3:24" ht="15.75" customHeight="1">
      <c r="C51" s="328"/>
      <c r="D51" s="289"/>
      <c r="E51" s="289"/>
      <c r="F51" s="289"/>
      <c r="G51" s="289"/>
      <c r="H51" s="289"/>
      <c r="I51" s="289"/>
      <c r="J51" s="289"/>
      <c r="K51" s="289"/>
      <c r="L51" s="289"/>
      <c r="M51" s="289"/>
      <c r="N51" s="289"/>
      <c r="O51" s="289"/>
      <c r="P51" s="289"/>
      <c r="Q51" s="289"/>
      <c r="R51" s="289"/>
      <c r="S51" s="289"/>
      <c r="T51" s="289"/>
      <c r="U51" s="289"/>
      <c r="V51" s="289"/>
      <c r="W51" s="289"/>
      <c r="X51" s="289"/>
    </row>
    <row r="52" spans="3:24" ht="15.75" customHeight="1">
      <c r="C52" s="328"/>
      <c r="D52" s="289"/>
      <c r="E52" s="289"/>
      <c r="F52" s="289"/>
      <c r="G52" s="289"/>
      <c r="H52" s="289"/>
      <c r="I52" s="289"/>
      <c r="J52" s="289"/>
      <c r="K52" s="289"/>
      <c r="L52" s="289"/>
      <c r="M52" s="289"/>
      <c r="N52" s="289"/>
      <c r="O52" s="289"/>
      <c r="P52" s="289"/>
      <c r="Q52" s="289"/>
      <c r="R52" s="289"/>
      <c r="S52" s="289"/>
      <c r="T52" s="289"/>
      <c r="U52" s="289"/>
      <c r="V52" s="289"/>
      <c r="W52" s="289"/>
      <c r="X52" s="289"/>
    </row>
    <row r="53" spans="3:24" ht="15.75" customHeight="1">
      <c r="C53" s="328"/>
      <c r="D53" s="289"/>
      <c r="E53" s="289"/>
      <c r="F53" s="289"/>
      <c r="G53" s="289"/>
      <c r="H53" s="289"/>
      <c r="I53" s="289"/>
      <c r="J53" s="289"/>
      <c r="K53" s="289"/>
      <c r="L53" s="289"/>
      <c r="M53" s="289"/>
      <c r="N53" s="289"/>
      <c r="O53" s="289"/>
      <c r="P53" s="289"/>
      <c r="Q53" s="289"/>
      <c r="R53" s="289"/>
      <c r="S53" s="289"/>
      <c r="T53" s="289"/>
      <c r="U53" s="289"/>
      <c r="V53" s="289"/>
      <c r="W53" s="289"/>
      <c r="X53" s="289"/>
    </row>
    <row r="54" spans="3:24" ht="15.75" customHeight="1">
      <c r="C54" s="328"/>
      <c r="D54" s="289"/>
      <c r="E54" s="289"/>
      <c r="F54" s="289"/>
      <c r="G54" s="289"/>
      <c r="H54" s="289"/>
      <c r="I54" s="289"/>
      <c r="J54" s="289"/>
      <c r="K54" s="289"/>
      <c r="L54" s="289"/>
      <c r="M54" s="289"/>
      <c r="N54" s="289"/>
      <c r="O54" s="289"/>
      <c r="P54" s="289"/>
      <c r="Q54" s="289"/>
      <c r="R54" s="289"/>
      <c r="S54" s="289"/>
      <c r="T54" s="289"/>
      <c r="U54" s="289"/>
      <c r="V54" s="289"/>
      <c r="W54" s="289"/>
      <c r="X54" s="289"/>
    </row>
    <row r="55" spans="3:24" ht="15.75" customHeight="1">
      <c r="C55" s="328"/>
      <c r="D55" s="289"/>
      <c r="E55" s="289"/>
      <c r="F55" s="289"/>
      <c r="G55" s="289"/>
      <c r="H55" s="289"/>
      <c r="I55" s="289"/>
      <c r="J55" s="289"/>
      <c r="K55" s="289"/>
      <c r="L55" s="289"/>
      <c r="M55" s="289"/>
      <c r="N55" s="289"/>
      <c r="O55" s="289"/>
      <c r="P55" s="289"/>
      <c r="Q55" s="289"/>
      <c r="R55" s="289"/>
      <c r="S55" s="289"/>
      <c r="T55" s="289"/>
      <c r="U55" s="289"/>
      <c r="V55" s="289"/>
      <c r="W55" s="289"/>
      <c r="X55" s="289"/>
    </row>
    <row r="56" spans="3:24" ht="15.75" customHeight="1">
      <c r="C56" s="328"/>
      <c r="D56" s="289"/>
      <c r="E56" s="289"/>
      <c r="F56" s="289"/>
      <c r="G56" s="289"/>
      <c r="H56" s="289"/>
      <c r="I56" s="289"/>
      <c r="J56" s="289"/>
      <c r="K56" s="289"/>
      <c r="L56" s="289"/>
      <c r="M56" s="289"/>
      <c r="N56" s="289"/>
      <c r="O56" s="289"/>
      <c r="P56" s="289"/>
      <c r="Q56" s="289"/>
      <c r="R56" s="289"/>
      <c r="S56" s="289"/>
      <c r="T56" s="289"/>
      <c r="U56" s="289"/>
      <c r="V56" s="289"/>
      <c r="W56" s="289"/>
      <c r="X56" s="289"/>
    </row>
    <row r="57" spans="3:24" ht="15.75" customHeight="1">
      <c r="C57" s="328"/>
      <c r="D57" s="289"/>
      <c r="E57" s="289"/>
      <c r="F57" s="289"/>
      <c r="G57" s="289"/>
      <c r="H57" s="289"/>
      <c r="I57" s="289"/>
      <c r="J57" s="289"/>
      <c r="K57" s="289"/>
      <c r="L57" s="289"/>
      <c r="M57" s="289"/>
      <c r="N57" s="289"/>
      <c r="O57" s="289"/>
      <c r="P57" s="289"/>
      <c r="Q57" s="289"/>
      <c r="R57" s="289"/>
      <c r="S57" s="289"/>
      <c r="T57" s="289"/>
      <c r="U57" s="289"/>
      <c r="V57" s="289"/>
      <c r="W57" s="289"/>
      <c r="X57" s="289"/>
    </row>
    <row r="58" spans="3:24" ht="15.75" customHeight="1">
      <c r="C58" s="328"/>
      <c r="D58" s="289"/>
      <c r="E58" s="289"/>
      <c r="F58" s="289"/>
      <c r="G58" s="289"/>
      <c r="H58" s="289"/>
      <c r="I58" s="289"/>
      <c r="J58" s="289"/>
      <c r="K58" s="289"/>
      <c r="L58" s="289"/>
      <c r="M58" s="289"/>
      <c r="N58" s="289"/>
      <c r="O58" s="289"/>
      <c r="P58" s="289"/>
      <c r="Q58" s="289"/>
      <c r="R58" s="289"/>
      <c r="S58" s="289"/>
      <c r="T58" s="289"/>
      <c r="U58" s="289"/>
      <c r="V58" s="289"/>
      <c r="W58" s="289"/>
      <c r="X58" s="289"/>
    </row>
    <row r="59" spans="3:24" ht="15.75" customHeight="1">
      <c r="C59" s="328"/>
      <c r="D59" s="289"/>
      <c r="E59" s="289"/>
      <c r="F59" s="289"/>
      <c r="G59" s="289"/>
      <c r="H59" s="289"/>
      <c r="I59" s="289"/>
      <c r="J59" s="289"/>
      <c r="K59" s="289"/>
      <c r="L59" s="289"/>
      <c r="M59" s="289"/>
      <c r="N59" s="289"/>
      <c r="O59" s="289"/>
      <c r="P59" s="289"/>
      <c r="Q59" s="289"/>
      <c r="R59" s="289"/>
      <c r="S59" s="289"/>
      <c r="T59" s="289"/>
      <c r="U59" s="289"/>
      <c r="V59" s="289"/>
      <c r="W59" s="289"/>
      <c r="X59" s="289"/>
    </row>
    <row r="60" spans="3:24" ht="15.75" customHeight="1">
      <c r="C60" s="328"/>
      <c r="D60" s="289"/>
      <c r="E60" s="289"/>
      <c r="F60" s="289"/>
      <c r="G60" s="289"/>
      <c r="H60" s="289"/>
      <c r="I60" s="289"/>
      <c r="J60" s="289"/>
      <c r="K60" s="289"/>
      <c r="L60" s="289"/>
      <c r="M60" s="289"/>
      <c r="N60" s="289"/>
      <c r="O60" s="289"/>
      <c r="P60" s="289"/>
      <c r="Q60" s="289"/>
      <c r="R60" s="289"/>
      <c r="S60" s="289"/>
      <c r="T60" s="289"/>
      <c r="U60" s="289"/>
      <c r="V60" s="289"/>
      <c r="W60" s="289"/>
      <c r="X60" s="289"/>
    </row>
    <row r="61" spans="3:24" ht="15.75" customHeight="1">
      <c r="C61" s="328"/>
      <c r="D61" s="289"/>
      <c r="E61" s="289"/>
      <c r="F61" s="289"/>
      <c r="G61" s="289"/>
      <c r="H61" s="289"/>
      <c r="I61" s="289"/>
      <c r="J61" s="289"/>
      <c r="K61" s="289"/>
      <c r="L61" s="289"/>
      <c r="M61" s="289"/>
      <c r="N61" s="289"/>
      <c r="O61" s="289"/>
      <c r="P61" s="289"/>
      <c r="Q61" s="289"/>
      <c r="R61" s="289"/>
      <c r="S61" s="289"/>
      <c r="T61" s="289"/>
      <c r="U61" s="289"/>
      <c r="V61" s="289"/>
      <c r="W61" s="289"/>
      <c r="X61" s="289"/>
    </row>
    <row r="62" spans="3:24" ht="15.75" customHeight="1">
      <c r="C62" s="328"/>
      <c r="D62" s="289"/>
      <c r="E62" s="289"/>
      <c r="F62" s="289"/>
      <c r="G62" s="289"/>
      <c r="H62" s="289"/>
      <c r="I62" s="289"/>
      <c r="J62" s="289"/>
      <c r="K62" s="289"/>
      <c r="L62" s="289"/>
      <c r="M62" s="289"/>
      <c r="N62" s="289"/>
      <c r="O62" s="289"/>
      <c r="P62" s="289"/>
      <c r="Q62" s="289"/>
      <c r="R62" s="289"/>
      <c r="S62" s="289"/>
      <c r="T62" s="289"/>
      <c r="U62" s="289"/>
      <c r="V62" s="289"/>
      <c r="W62" s="289"/>
      <c r="X62" s="289"/>
    </row>
    <row r="63" spans="3:24" ht="15.75" customHeight="1">
      <c r="C63" s="328"/>
      <c r="D63" s="289"/>
      <c r="E63" s="289"/>
      <c r="F63" s="289"/>
      <c r="G63" s="289"/>
      <c r="H63" s="289"/>
      <c r="I63" s="289"/>
      <c r="J63" s="289"/>
      <c r="K63" s="289"/>
      <c r="L63" s="289"/>
      <c r="M63" s="289"/>
      <c r="N63" s="289"/>
      <c r="O63" s="289"/>
      <c r="P63" s="289"/>
      <c r="Q63" s="289"/>
      <c r="R63" s="289"/>
      <c r="S63" s="289"/>
      <c r="T63" s="289"/>
      <c r="U63" s="289"/>
      <c r="V63" s="289"/>
      <c r="W63" s="289"/>
      <c r="X63" s="289"/>
    </row>
    <row r="64" spans="3:24" ht="15.75" customHeight="1">
      <c r="C64" s="328"/>
      <c r="D64" s="289"/>
      <c r="E64" s="289"/>
      <c r="F64" s="289"/>
      <c r="G64" s="289"/>
      <c r="H64" s="289"/>
      <c r="I64" s="289"/>
      <c r="J64" s="289"/>
      <c r="K64" s="289"/>
      <c r="L64" s="289"/>
      <c r="M64" s="289"/>
      <c r="N64" s="289"/>
      <c r="O64" s="289"/>
      <c r="P64" s="289"/>
      <c r="Q64" s="289"/>
      <c r="R64" s="289"/>
      <c r="S64" s="289"/>
      <c r="T64" s="289"/>
      <c r="U64" s="289"/>
      <c r="V64" s="289"/>
      <c r="W64" s="289"/>
      <c r="X64" s="289"/>
    </row>
    <row r="65" spans="3:24" ht="15.75" customHeight="1">
      <c r="C65" s="328"/>
      <c r="D65" s="289"/>
      <c r="E65" s="289"/>
      <c r="F65" s="289"/>
      <c r="G65" s="289"/>
      <c r="H65" s="289"/>
      <c r="I65" s="289"/>
      <c r="J65" s="289"/>
      <c r="K65" s="289"/>
      <c r="L65" s="289"/>
      <c r="M65" s="289"/>
      <c r="N65" s="289"/>
      <c r="O65" s="289"/>
      <c r="P65" s="289"/>
      <c r="Q65" s="289"/>
      <c r="R65" s="289"/>
      <c r="S65" s="289"/>
      <c r="T65" s="289"/>
      <c r="U65" s="289"/>
      <c r="V65" s="289"/>
      <c r="W65" s="289"/>
      <c r="X65" s="289"/>
    </row>
    <row r="66" spans="3:24" ht="15.75" customHeight="1">
      <c r="C66" s="328"/>
      <c r="D66" s="289"/>
      <c r="E66" s="289"/>
      <c r="F66" s="289"/>
      <c r="G66" s="289"/>
      <c r="H66" s="289"/>
      <c r="I66" s="289"/>
      <c r="J66" s="289"/>
      <c r="K66" s="289"/>
      <c r="L66" s="289"/>
      <c r="M66" s="289"/>
      <c r="N66" s="289"/>
      <c r="O66" s="289"/>
      <c r="P66" s="289"/>
      <c r="Q66" s="289"/>
      <c r="R66" s="289"/>
      <c r="S66" s="289"/>
      <c r="T66" s="289"/>
      <c r="U66" s="289"/>
      <c r="V66" s="289"/>
      <c r="W66" s="289"/>
      <c r="X66" s="289"/>
    </row>
    <row r="67" spans="3:24" ht="15.75" customHeight="1">
      <c r="C67" s="328"/>
      <c r="D67" s="289"/>
      <c r="E67" s="289"/>
      <c r="F67" s="289"/>
      <c r="G67" s="289"/>
      <c r="H67" s="289"/>
      <c r="I67" s="289"/>
      <c r="J67" s="289"/>
      <c r="K67" s="289"/>
      <c r="L67" s="289"/>
      <c r="M67" s="289"/>
      <c r="N67" s="289"/>
      <c r="O67" s="289"/>
      <c r="P67" s="289"/>
      <c r="Q67" s="289"/>
      <c r="R67" s="289"/>
      <c r="S67" s="289"/>
      <c r="T67" s="289"/>
      <c r="U67" s="289"/>
      <c r="V67" s="289"/>
      <c r="W67" s="289"/>
      <c r="X67" s="289"/>
    </row>
    <row r="68" spans="3:24" ht="15.75" customHeight="1">
      <c r="C68" s="328"/>
      <c r="D68" s="289"/>
      <c r="E68" s="289"/>
      <c r="F68" s="289"/>
      <c r="G68" s="289"/>
      <c r="H68" s="289"/>
      <c r="I68" s="289"/>
      <c r="J68" s="289"/>
      <c r="K68" s="289"/>
      <c r="L68" s="289"/>
      <c r="M68" s="289"/>
      <c r="N68" s="289"/>
      <c r="O68" s="289"/>
      <c r="P68" s="289"/>
      <c r="Q68" s="289"/>
      <c r="R68" s="289"/>
      <c r="S68" s="289"/>
      <c r="T68" s="289"/>
      <c r="U68" s="289"/>
      <c r="V68" s="289"/>
      <c r="W68" s="289"/>
      <c r="X68" s="289"/>
    </row>
    <row r="69" spans="3:24" ht="15.75" customHeight="1">
      <c r="C69" s="328"/>
      <c r="D69" s="289"/>
      <c r="E69" s="289"/>
      <c r="F69" s="289"/>
      <c r="G69" s="289"/>
      <c r="H69" s="289"/>
      <c r="I69" s="289"/>
      <c r="J69" s="289"/>
      <c r="K69" s="289"/>
      <c r="L69" s="289"/>
      <c r="M69" s="289"/>
      <c r="N69" s="289"/>
      <c r="O69" s="289"/>
      <c r="P69" s="289"/>
      <c r="Q69" s="289"/>
      <c r="R69" s="289"/>
      <c r="S69" s="289"/>
      <c r="T69" s="289"/>
      <c r="U69" s="289"/>
      <c r="V69" s="289"/>
      <c r="W69" s="289"/>
      <c r="X69" s="289"/>
    </row>
    <row r="70" spans="3:24" ht="15.75" customHeight="1">
      <c r="C70" s="328"/>
      <c r="D70" s="289"/>
      <c r="E70" s="289"/>
      <c r="F70" s="289"/>
      <c r="G70" s="289"/>
      <c r="H70" s="289"/>
      <c r="I70" s="289"/>
      <c r="J70" s="289"/>
      <c r="K70" s="289"/>
      <c r="L70" s="289"/>
      <c r="M70" s="289"/>
      <c r="N70" s="289"/>
      <c r="O70" s="289"/>
      <c r="P70" s="289"/>
      <c r="Q70" s="289"/>
      <c r="R70" s="289"/>
      <c r="S70" s="289"/>
      <c r="T70" s="289"/>
      <c r="U70" s="289"/>
      <c r="V70" s="289"/>
      <c r="W70" s="289"/>
      <c r="X70" s="289"/>
    </row>
    <row r="71" spans="3:24" ht="15.75" customHeight="1">
      <c r="C71" s="328"/>
      <c r="D71" s="289"/>
      <c r="E71" s="289"/>
      <c r="F71" s="289"/>
      <c r="G71" s="289"/>
      <c r="H71" s="289"/>
      <c r="I71" s="289"/>
      <c r="J71" s="289"/>
      <c r="K71" s="289"/>
      <c r="L71" s="289"/>
      <c r="M71" s="289"/>
      <c r="N71" s="289"/>
      <c r="O71" s="289"/>
      <c r="P71" s="289"/>
      <c r="Q71" s="289"/>
      <c r="R71" s="289"/>
      <c r="S71" s="289"/>
      <c r="T71" s="289"/>
      <c r="U71" s="289"/>
      <c r="V71" s="289"/>
      <c r="W71" s="289"/>
      <c r="X71" s="289"/>
    </row>
    <row r="72" spans="3:24" ht="15.75" customHeight="1">
      <c r="C72" s="328"/>
      <c r="D72" s="289"/>
      <c r="E72" s="289"/>
      <c r="F72" s="289"/>
      <c r="G72" s="289"/>
      <c r="H72" s="289"/>
      <c r="I72" s="289"/>
      <c r="J72" s="289"/>
      <c r="K72" s="289"/>
      <c r="L72" s="289"/>
      <c r="M72" s="289"/>
      <c r="N72" s="289"/>
      <c r="O72" s="289"/>
      <c r="P72" s="289"/>
      <c r="Q72" s="289"/>
      <c r="R72" s="289"/>
      <c r="S72" s="289"/>
      <c r="T72" s="289"/>
      <c r="U72" s="289"/>
      <c r="V72" s="289"/>
      <c r="W72" s="289"/>
      <c r="X72" s="289"/>
    </row>
    <row r="73" spans="3:24" ht="15.75" customHeight="1">
      <c r="C73" s="328"/>
      <c r="D73" s="289"/>
      <c r="E73" s="289"/>
      <c r="F73" s="289"/>
      <c r="G73" s="289"/>
      <c r="H73" s="289"/>
      <c r="I73" s="289"/>
      <c r="J73" s="289"/>
      <c r="K73" s="289"/>
      <c r="L73" s="289"/>
      <c r="M73" s="289"/>
      <c r="N73" s="289"/>
      <c r="O73" s="289"/>
      <c r="P73" s="289"/>
      <c r="Q73" s="289"/>
      <c r="R73" s="289"/>
      <c r="S73" s="289"/>
      <c r="T73" s="289"/>
      <c r="U73" s="289"/>
      <c r="V73" s="289"/>
      <c r="W73" s="289"/>
      <c r="X73" s="289"/>
    </row>
    <row r="74" spans="3:24" ht="15.75" customHeight="1">
      <c r="C74" s="328"/>
      <c r="D74" s="289"/>
      <c r="E74" s="289"/>
      <c r="F74" s="289"/>
      <c r="G74" s="289"/>
      <c r="H74" s="289"/>
      <c r="I74" s="289"/>
      <c r="J74" s="289"/>
      <c r="K74" s="289"/>
      <c r="L74" s="289"/>
      <c r="M74" s="289"/>
      <c r="N74" s="289"/>
      <c r="O74" s="289"/>
      <c r="P74" s="289"/>
      <c r="Q74" s="289"/>
      <c r="R74" s="289"/>
      <c r="S74" s="289"/>
      <c r="T74" s="289"/>
      <c r="U74" s="289"/>
      <c r="V74" s="289"/>
      <c r="W74" s="289"/>
      <c r="X74" s="289"/>
    </row>
    <row r="75" spans="3:24" ht="15.75" customHeight="1">
      <c r="C75" s="328"/>
      <c r="D75" s="289"/>
      <c r="E75" s="289"/>
      <c r="F75" s="289"/>
      <c r="G75" s="289"/>
      <c r="H75" s="289"/>
      <c r="I75" s="289"/>
      <c r="J75" s="289"/>
      <c r="K75" s="289"/>
      <c r="L75" s="289"/>
      <c r="M75" s="289"/>
      <c r="N75" s="289"/>
      <c r="O75" s="289"/>
      <c r="P75" s="289"/>
      <c r="Q75" s="289"/>
      <c r="R75" s="289"/>
      <c r="S75" s="289"/>
      <c r="T75" s="289"/>
      <c r="U75" s="289"/>
      <c r="V75" s="289"/>
      <c r="W75" s="289"/>
      <c r="X75" s="289"/>
    </row>
    <row r="76" spans="3:24" ht="15.75" customHeight="1">
      <c r="C76" s="328"/>
      <c r="D76" s="289"/>
      <c r="E76" s="289"/>
      <c r="F76" s="289"/>
      <c r="G76" s="289"/>
      <c r="H76" s="289"/>
      <c r="I76" s="289"/>
      <c r="J76" s="289"/>
      <c r="K76" s="289"/>
      <c r="L76" s="289"/>
      <c r="M76" s="289"/>
      <c r="N76" s="289"/>
      <c r="O76" s="289"/>
      <c r="P76" s="289"/>
      <c r="Q76" s="289"/>
      <c r="R76" s="289"/>
      <c r="S76" s="289"/>
      <c r="T76" s="289"/>
      <c r="U76" s="289"/>
      <c r="V76" s="289"/>
      <c r="W76" s="289"/>
      <c r="X76" s="289"/>
    </row>
    <row r="77" spans="3:24" ht="15.75" customHeight="1">
      <c r="C77" s="328"/>
      <c r="D77" s="289"/>
      <c r="E77" s="289"/>
      <c r="F77" s="289"/>
      <c r="G77" s="289"/>
      <c r="H77" s="289"/>
      <c r="I77" s="289"/>
      <c r="J77" s="289"/>
      <c r="K77" s="289"/>
      <c r="L77" s="289"/>
      <c r="M77" s="289"/>
      <c r="N77" s="289"/>
      <c r="O77" s="289"/>
      <c r="P77" s="289"/>
      <c r="Q77" s="289"/>
      <c r="R77" s="289"/>
      <c r="S77" s="289"/>
      <c r="T77" s="289"/>
      <c r="U77" s="289"/>
      <c r="V77" s="289"/>
      <c r="W77" s="289"/>
      <c r="X77" s="289"/>
    </row>
    <row r="78" spans="3:24" ht="15.75" customHeight="1">
      <c r="C78" s="328"/>
      <c r="D78" s="289"/>
      <c r="E78" s="289"/>
      <c r="F78" s="289"/>
      <c r="G78" s="289"/>
      <c r="H78" s="289"/>
      <c r="I78" s="289"/>
      <c r="J78" s="289"/>
      <c r="K78" s="289"/>
      <c r="L78" s="289"/>
      <c r="M78" s="289"/>
      <c r="N78" s="289"/>
      <c r="O78" s="289"/>
      <c r="P78" s="289"/>
      <c r="Q78" s="289"/>
      <c r="R78" s="289"/>
      <c r="S78" s="289"/>
      <c r="T78" s="289"/>
      <c r="U78" s="289"/>
      <c r="V78" s="289"/>
      <c r="W78" s="289"/>
      <c r="X78" s="289"/>
    </row>
    <row r="79" spans="3:24" ht="15.75" customHeight="1">
      <c r="C79" s="328"/>
      <c r="D79" s="289"/>
      <c r="E79" s="289"/>
      <c r="F79" s="289"/>
      <c r="G79" s="289"/>
      <c r="H79" s="289"/>
      <c r="I79" s="289"/>
      <c r="J79" s="289"/>
      <c r="K79" s="289"/>
      <c r="L79" s="289"/>
      <c r="M79" s="289"/>
      <c r="N79" s="289"/>
      <c r="O79" s="289"/>
      <c r="P79" s="289"/>
      <c r="Q79" s="289"/>
      <c r="R79" s="289"/>
      <c r="S79" s="289"/>
      <c r="T79" s="289"/>
      <c r="U79" s="289"/>
      <c r="V79" s="289"/>
      <c r="W79" s="289"/>
      <c r="X79" s="289"/>
    </row>
    <row r="80" spans="3:24" ht="15.75" customHeight="1">
      <c r="C80" s="328"/>
      <c r="D80" s="289"/>
      <c r="E80" s="289"/>
      <c r="F80" s="289"/>
      <c r="G80" s="289"/>
      <c r="H80" s="289"/>
      <c r="I80" s="289"/>
      <c r="J80" s="289"/>
      <c r="K80" s="289"/>
      <c r="L80" s="289"/>
      <c r="M80" s="289"/>
      <c r="N80" s="289"/>
      <c r="O80" s="289"/>
      <c r="P80" s="289"/>
      <c r="Q80" s="289"/>
      <c r="R80" s="289"/>
      <c r="S80" s="289"/>
      <c r="T80" s="289"/>
      <c r="U80" s="289"/>
      <c r="V80" s="289"/>
      <c r="W80" s="289"/>
      <c r="X80" s="289"/>
    </row>
    <row r="81" spans="3:24" ht="15.75" customHeight="1">
      <c r="C81" s="328"/>
      <c r="D81" s="289"/>
      <c r="E81" s="289"/>
      <c r="F81" s="289"/>
      <c r="G81" s="289"/>
      <c r="H81" s="289"/>
      <c r="I81" s="289"/>
      <c r="J81" s="289"/>
      <c r="K81" s="289"/>
      <c r="L81" s="289"/>
      <c r="M81" s="289"/>
      <c r="N81" s="289"/>
      <c r="O81" s="289"/>
      <c r="P81" s="289"/>
      <c r="Q81" s="289"/>
      <c r="R81" s="289"/>
      <c r="S81" s="289"/>
      <c r="T81" s="289"/>
      <c r="U81" s="289"/>
      <c r="V81" s="289"/>
      <c r="W81" s="289"/>
      <c r="X81" s="289"/>
    </row>
    <row r="82" spans="3:24" ht="15.75" customHeight="1">
      <c r="C82" s="328"/>
      <c r="D82" s="289"/>
      <c r="E82" s="289"/>
      <c r="F82" s="289"/>
      <c r="G82" s="289"/>
      <c r="H82" s="289"/>
      <c r="I82" s="289"/>
      <c r="J82" s="289"/>
      <c r="K82" s="289"/>
      <c r="L82" s="289"/>
      <c r="M82" s="289"/>
      <c r="N82" s="289"/>
      <c r="O82" s="289"/>
      <c r="P82" s="289"/>
      <c r="Q82" s="289"/>
      <c r="R82" s="289"/>
      <c r="S82" s="289"/>
      <c r="T82" s="289"/>
      <c r="U82" s="289"/>
      <c r="V82" s="289"/>
      <c r="W82" s="289"/>
      <c r="X82" s="289"/>
    </row>
    <row r="83" spans="3:24" ht="15.75" customHeight="1">
      <c r="C83" s="328"/>
      <c r="D83" s="289"/>
      <c r="E83" s="289"/>
      <c r="F83" s="289"/>
      <c r="G83" s="289"/>
      <c r="H83" s="289"/>
      <c r="I83" s="289"/>
      <c r="J83" s="289"/>
      <c r="K83" s="289"/>
      <c r="L83" s="289"/>
      <c r="M83" s="289"/>
      <c r="N83" s="289"/>
      <c r="O83" s="289"/>
      <c r="P83" s="289"/>
      <c r="Q83" s="289"/>
      <c r="R83" s="289"/>
      <c r="S83" s="289"/>
      <c r="T83" s="289"/>
      <c r="U83" s="289"/>
      <c r="V83" s="289"/>
      <c r="W83" s="289"/>
      <c r="X83" s="289"/>
    </row>
    <row r="84" spans="3:24" ht="15.75" customHeight="1">
      <c r="C84" s="328"/>
      <c r="D84" s="289"/>
      <c r="E84" s="289"/>
      <c r="F84" s="289"/>
      <c r="G84" s="289"/>
      <c r="H84" s="289"/>
      <c r="I84" s="289"/>
      <c r="J84" s="289"/>
      <c r="K84" s="289"/>
      <c r="L84" s="289"/>
      <c r="M84" s="289"/>
      <c r="N84" s="289"/>
      <c r="O84" s="289"/>
      <c r="P84" s="289"/>
      <c r="Q84" s="289"/>
      <c r="R84" s="289"/>
      <c r="S84" s="289"/>
      <c r="T84" s="289"/>
      <c r="U84" s="289"/>
      <c r="V84" s="289"/>
      <c r="W84" s="289"/>
      <c r="X84" s="289"/>
    </row>
    <row r="85" spans="3:24" ht="15.75" customHeight="1">
      <c r="C85" s="328"/>
      <c r="D85" s="289"/>
      <c r="E85" s="289"/>
      <c r="F85" s="289"/>
      <c r="G85" s="289"/>
      <c r="H85" s="289"/>
      <c r="I85" s="289"/>
      <c r="J85" s="289"/>
      <c r="K85" s="289"/>
      <c r="L85" s="289"/>
      <c r="M85" s="289"/>
      <c r="N85" s="289"/>
      <c r="O85" s="289"/>
      <c r="P85" s="289"/>
      <c r="Q85" s="289"/>
      <c r="R85" s="289"/>
      <c r="S85" s="289"/>
      <c r="T85" s="289"/>
      <c r="U85" s="289"/>
      <c r="V85" s="289"/>
      <c r="W85" s="289"/>
      <c r="X85" s="289"/>
    </row>
    <row r="86" spans="3:24" ht="15.75" customHeight="1">
      <c r="C86" s="328"/>
      <c r="D86" s="289"/>
      <c r="E86" s="289"/>
      <c r="F86" s="289"/>
      <c r="G86" s="289"/>
      <c r="H86" s="289"/>
      <c r="I86" s="289"/>
      <c r="J86" s="289"/>
      <c r="K86" s="289"/>
      <c r="L86" s="289"/>
      <c r="M86" s="289"/>
      <c r="N86" s="289"/>
      <c r="O86" s="289"/>
      <c r="P86" s="289"/>
      <c r="Q86" s="289"/>
      <c r="R86" s="289"/>
      <c r="S86" s="289"/>
      <c r="T86" s="289"/>
      <c r="U86" s="289"/>
      <c r="V86" s="289"/>
      <c r="W86" s="289"/>
      <c r="X86" s="289"/>
    </row>
    <row r="87" spans="3:24" ht="15.75" customHeight="1">
      <c r="C87" s="328"/>
      <c r="D87" s="289"/>
      <c r="E87" s="289"/>
      <c r="F87" s="289"/>
      <c r="G87" s="289"/>
      <c r="H87" s="289"/>
      <c r="I87" s="289"/>
      <c r="J87" s="289"/>
      <c r="K87" s="289"/>
      <c r="L87" s="289"/>
      <c r="M87" s="289"/>
      <c r="N87" s="289"/>
      <c r="O87" s="289"/>
      <c r="P87" s="289"/>
      <c r="Q87" s="289"/>
      <c r="R87" s="289"/>
      <c r="S87" s="289"/>
      <c r="T87" s="289"/>
      <c r="U87" s="289"/>
      <c r="V87" s="289"/>
      <c r="W87" s="289"/>
      <c r="X87" s="289"/>
    </row>
    <row r="88" spans="3:24" ht="15.75" customHeight="1">
      <c r="C88" s="328"/>
      <c r="D88" s="289"/>
      <c r="E88" s="289"/>
      <c r="F88" s="289"/>
      <c r="G88" s="289"/>
      <c r="H88" s="289"/>
      <c r="I88" s="289"/>
      <c r="J88" s="289"/>
      <c r="K88" s="289"/>
      <c r="L88" s="289"/>
      <c r="M88" s="289"/>
      <c r="N88" s="289"/>
      <c r="O88" s="289"/>
      <c r="P88" s="289"/>
      <c r="Q88" s="289"/>
      <c r="R88" s="289"/>
      <c r="S88" s="289"/>
      <c r="T88" s="289"/>
      <c r="U88" s="289"/>
      <c r="V88" s="289"/>
      <c r="W88" s="289"/>
      <c r="X88" s="289"/>
    </row>
    <row r="89" spans="3:24" ht="15.75" customHeight="1">
      <c r="C89" s="328"/>
      <c r="D89" s="289"/>
      <c r="E89" s="289"/>
      <c r="F89" s="289"/>
      <c r="G89" s="289"/>
      <c r="H89" s="289"/>
      <c r="I89" s="289"/>
      <c r="J89" s="289"/>
      <c r="K89" s="289"/>
      <c r="L89" s="289"/>
      <c r="M89" s="289"/>
      <c r="N89" s="289"/>
      <c r="O89" s="289"/>
      <c r="P89" s="289"/>
      <c r="Q89" s="289"/>
      <c r="R89" s="289"/>
      <c r="S89" s="289"/>
      <c r="T89" s="289"/>
      <c r="U89" s="289"/>
      <c r="V89" s="289"/>
      <c r="W89" s="289"/>
      <c r="X89" s="289"/>
    </row>
    <row r="90" spans="3:24" ht="15.75" customHeight="1">
      <c r="C90" s="328"/>
      <c r="D90" s="289"/>
      <c r="E90" s="289"/>
      <c r="F90" s="289"/>
      <c r="G90" s="289"/>
      <c r="H90" s="289"/>
      <c r="I90" s="289"/>
      <c r="J90" s="289"/>
      <c r="K90" s="289"/>
      <c r="L90" s="289"/>
      <c r="M90" s="289"/>
      <c r="N90" s="289"/>
      <c r="O90" s="289"/>
      <c r="P90" s="289"/>
      <c r="Q90" s="289"/>
      <c r="R90" s="289"/>
      <c r="S90" s="289"/>
      <c r="T90" s="289"/>
      <c r="U90" s="289"/>
      <c r="V90" s="289"/>
      <c r="W90" s="289"/>
      <c r="X90" s="289"/>
    </row>
    <row r="91" spans="3:24" ht="15.75" customHeight="1">
      <c r="C91" s="328"/>
      <c r="D91" s="289"/>
      <c r="E91" s="289"/>
      <c r="F91" s="289"/>
      <c r="G91" s="289"/>
      <c r="H91" s="289"/>
      <c r="I91" s="289"/>
      <c r="J91" s="289"/>
      <c r="K91" s="289"/>
      <c r="L91" s="289"/>
      <c r="M91" s="289"/>
      <c r="N91" s="289"/>
      <c r="O91" s="289"/>
      <c r="P91" s="289"/>
      <c r="Q91" s="289"/>
      <c r="R91" s="289"/>
      <c r="S91" s="289"/>
      <c r="T91" s="289"/>
      <c r="U91" s="289"/>
      <c r="V91" s="289"/>
      <c r="W91" s="289"/>
      <c r="X91" s="289"/>
    </row>
    <row r="92" spans="3:24" ht="15.75" customHeight="1">
      <c r="C92" s="328"/>
      <c r="D92" s="289"/>
      <c r="E92" s="289"/>
      <c r="F92" s="289"/>
      <c r="G92" s="289"/>
      <c r="H92" s="289"/>
      <c r="I92" s="289"/>
      <c r="J92" s="289"/>
      <c r="K92" s="289"/>
      <c r="L92" s="289"/>
      <c r="M92" s="289"/>
      <c r="N92" s="289"/>
      <c r="O92" s="289"/>
      <c r="P92" s="289"/>
      <c r="Q92" s="289"/>
      <c r="R92" s="289"/>
      <c r="S92" s="289"/>
      <c r="T92" s="289"/>
      <c r="U92" s="289"/>
      <c r="V92" s="289"/>
      <c r="W92" s="289"/>
      <c r="X92" s="289"/>
    </row>
    <row r="93" spans="3:24" ht="15.75" customHeight="1">
      <c r="C93" s="328"/>
      <c r="D93" s="289"/>
      <c r="E93" s="289"/>
      <c r="F93" s="289"/>
      <c r="G93" s="289"/>
      <c r="H93" s="289"/>
      <c r="I93" s="289"/>
      <c r="J93" s="289"/>
      <c r="K93" s="289"/>
      <c r="L93" s="289"/>
      <c r="M93" s="289"/>
      <c r="N93" s="289"/>
      <c r="O93" s="289"/>
      <c r="P93" s="289"/>
      <c r="Q93" s="289"/>
      <c r="R93" s="289"/>
      <c r="S93" s="289"/>
      <c r="T93" s="289"/>
      <c r="U93" s="289"/>
      <c r="V93" s="289"/>
      <c r="W93" s="289"/>
      <c r="X93" s="289"/>
    </row>
    <row r="94" spans="3:24" ht="15.75" customHeight="1">
      <c r="C94" s="328"/>
      <c r="D94" s="289"/>
      <c r="E94" s="289"/>
      <c r="F94" s="289"/>
      <c r="G94" s="289"/>
      <c r="H94" s="289"/>
      <c r="I94" s="289"/>
      <c r="J94" s="289"/>
      <c r="K94" s="289"/>
      <c r="L94" s="289"/>
      <c r="M94" s="289"/>
      <c r="N94" s="289"/>
      <c r="O94" s="289"/>
      <c r="P94" s="289"/>
      <c r="Q94" s="289"/>
      <c r="R94" s="289"/>
      <c r="S94" s="289"/>
      <c r="T94" s="289"/>
      <c r="U94" s="289"/>
      <c r="V94" s="289"/>
      <c r="W94" s="289"/>
      <c r="X94" s="289"/>
    </row>
    <row r="95" spans="3:24" ht="15.75" customHeight="1">
      <c r="C95" s="328"/>
      <c r="D95" s="289"/>
      <c r="E95" s="289"/>
      <c r="F95" s="289"/>
      <c r="G95" s="289"/>
      <c r="H95" s="289"/>
      <c r="I95" s="289"/>
      <c r="J95" s="289"/>
      <c r="K95" s="289"/>
      <c r="L95" s="289"/>
      <c r="M95" s="289"/>
      <c r="N95" s="289"/>
      <c r="O95" s="289"/>
      <c r="P95" s="289"/>
      <c r="Q95" s="289"/>
      <c r="R95" s="289"/>
      <c r="S95" s="289"/>
      <c r="T95" s="289"/>
      <c r="U95" s="289"/>
      <c r="V95" s="289"/>
      <c r="W95" s="289"/>
      <c r="X95" s="289"/>
    </row>
    <row r="96" spans="3:24" ht="15.75" customHeight="1">
      <c r="C96" s="328"/>
      <c r="D96" s="289"/>
      <c r="E96" s="289"/>
      <c r="F96" s="289"/>
      <c r="G96" s="289"/>
      <c r="H96" s="289"/>
      <c r="I96" s="289"/>
      <c r="J96" s="289"/>
      <c r="K96" s="289"/>
      <c r="L96" s="289"/>
      <c r="M96" s="289"/>
      <c r="N96" s="289"/>
      <c r="O96" s="289"/>
      <c r="P96" s="289"/>
      <c r="Q96" s="289"/>
      <c r="R96" s="289"/>
      <c r="S96" s="289"/>
      <c r="T96" s="289"/>
      <c r="U96" s="289"/>
      <c r="V96" s="289"/>
      <c r="W96" s="289"/>
      <c r="X96" s="289"/>
    </row>
    <row r="97" spans="3:24" ht="15.75" customHeight="1">
      <c r="C97" s="328"/>
      <c r="D97" s="289"/>
      <c r="E97" s="289"/>
      <c r="F97" s="289"/>
      <c r="G97" s="289"/>
      <c r="H97" s="289"/>
      <c r="I97" s="289"/>
      <c r="J97" s="289"/>
      <c r="K97" s="289"/>
      <c r="L97" s="289"/>
      <c r="M97" s="289"/>
      <c r="N97" s="289"/>
      <c r="O97" s="289"/>
      <c r="P97" s="289"/>
      <c r="Q97" s="289"/>
      <c r="R97" s="289"/>
      <c r="S97" s="289"/>
      <c r="T97" s="289"/>
      <c r="U97" s="289"/>
      <c r="V97" s="289"/>
      <c r="W97" s="289"/>
      <c r="X97" s="289"/>
    </row>
    <row r="98" spans="3:24" ht="15.75" customHeight="1">
      <c r="C98" s="328"/>
      <c r="D98" s="289"/>
      <c r="E98" s="289"/>
      <c r="F98" s="289"/>
      <c r="G98" s="289"/>
      <c r="H98" s="289"/>
      <c r="I98" s="289"/>
      <c r="J98" s="289"/>
      <c r="K98" s="289"/>
      <c r="L98" s="289"/>
      <c r="M98" s="289"/>
      <c r="N98" s="289"/>
      <c r="O98" s="289"/>
      <c r="P98" s="289"/>
      <c r="Q98" s="289"/>
      <c r="R98" s="289"/>
      <c r="S98" s="289"/>
      <c r="T98" s="289"/>
      <c r="U98" s="289"/>
      <c r="V98" s="289"/>
      <c r="W98" s="289"/>
      <c r="X98" s="289"/>
    </row>
    <row r="99" spans="3:24" ht="15.75" customHeight="1">
      <c r="C99" s="328"/>
      <c r="D99" s="289"/>
      <c r="E99" s="289"/>
      <c r="F99" s="289"/>
      <c r="G99" s="289"/>
      <c r="H99" s="289"/>
      <c r="I99" s="289"/>
      <c r="J99" s="289"/>
      <c r="K99" s="289"/>
      <c r="L99" s="289"/>
      <c r="M99" s="289"/>
      <c r="N99" s="289"/>
      <c r="O99" s="289"/>
      <c r="P99" s="289"/>
      <c r="Q99" s="289"/>
      <c r="R99" s="289"/>
      <c r="S99" s="289"/>
      <c r="T99" s="289"/>
      <c r="U99" s="289"/>
      <c r="V99" s="289"/>
      <c r="W99" s="289"/>
      <c r="X99" s="289"/>
    </row>
    <row r="100" spans="3:24" ht="15.75" customHeight="1">
      <c r="C100" s="328"/>
      <c r="D100" s="289"/>
      <c r="E100" s="289"/>
      <c r="F100" s="289"/>
      <c r="G100" s="289"/>
      <c r="H100" s="289"/>
      <c r="I100" s="289"/>
      <c r="J100" s="289"/>
      <c r="K100" s="289"/>
      <c r="L100" s="289"/>
      <c r="M100" s="289"/>
      <c r="N100" s="289"/>
      <c r="O100" s="289"/>
      <c r="P100" s="289"/>
      <c r="Q100" s="289"/>
      <c r="R100" s="289"/>
      <c r="S100" s="289"/>
      <c r="T100" s="289"/>
      <c r="U100" s="289"/>
      <c r="V100" s="289"/>
      <c r="W100" s="289"/>
      <c r="X100" s="289"/>
    </row>
    <row r="101" spans="3:24" ht="15.75" customHeight="1">
      <c r="C101" s="328"/>
      <c r="D101" s="289"/>
      <c r="E101" s="289"/>
      <c r="F101" s="289"/>
      <c r="G101" s="289"/>
      <c r="H101" s="289"/>
      <c r="I101" s="289"/>
      <c r="J101" s="289"/>
      <c r="K101" s="289"/>
      <c r="L101" s="289"/>
      <c r="M101" s="289"/>
      <c r="N101" s="289"/>
      <c r="O101" s="289"/>
      <c r="P101" s="289"/>
      <c r="Q101" s="289"/>
      <c r="R101" s="289"/>
      <c r="S101" s="289"/>
      <c r="T101" s="289"/>
      <c r="U101" s="289"/>
      <c r="V101" s="289"/>
      <c r="W101" s="289"/>
      <c r="X101" s="289"/>
    </row>
    <row r="102" spans="3:24" ht="15.75" customHeight="1">
      <c r="C102" s="328"/>
      <c r="D102" s="289"/>
      <c r="E102" s="289"/>
      <c r="F102" s="289"/>
      <c r="G102" s="289"/>
      <c r="H102" s="289"/>
      <c r="I102" s="289"/>
      <c r="J102" s="289"/>
      <c r="K102" s="289"/>
      <c r="L102" s="289"/>
      <c r="M102" s="289"/>
      <c r="N102" s="289"/>
      <c r="O102" s="289"/>
      <c r="P102" s="289"/>
      <c r="Q102" s="289"/>
      <c r="R102" s="289"/>
      <c r="S102" s="289"/>
      <c r="T102" s="289"/>
      <c r="U102" s="289"/>
      <c r="V102" s="289"/>
      <c r="W102" s="289"/>
      <c r="X102" s="289"/>
    </row>
    <row r="103" spans="3:24" ht="15.75" customHeight="1">
      <c r="C103" s="328"/>
      <c r="D103" s="289"/>
      <c r="E103" s="289"/>
      <c r="F103" s="289"/>
      <c r="G103" s="289"/>
      <c r="H103" s="289"/>
      <c r="I103" s="289"/>
      <c r="J103" s="289"/>
      <c r="K103" s="289"/>
      <c r="L103" s="289"/>
      <c r="M103" s="289"/>
      <c r="N103" s="289"/>
      <c r="O103" s="289"/>
      <c r="P103" s="289"/>
      <c r="Q103" s="289"/>
      <c r="R103" s="289"/>
      <c r="S103" s="289"/>
      <c r="T103" s="289"/>
      <c r="U103" s="289"/>
      <c r="V103" s="289"/>
      <c r="W103" s="289"/>
      <c r="X103" s="289"/>
    </row>
    <row r="104" spans="3:24" ht="15.75" customHeight="1">
      <c r="C104" s="328"/>
      <c r="D104" s="289"/>
      <c r="E104" s="289"/>
      <c r="F104" s="289"/>
      <c r="G104" s="289"/>
      <c r="H104" s="289"/>
      <c r="I104" s="289"/>
      <c r="J104" s="289"/>
      <c r="K104" s="289"/>
      <c r="L104" s="289"/>
      <c r="M104" s="289"/>
      <c r="N104" s="289"/>
      <c r="O104" s="289"/>
      <c r="P104" s="289"/>
      <c r="Q104" s="289"/>
      <c r="R104" s="289"/>
      <c r="S104" s="289"/>
      <c r="T104" s="289"/>
      <c r="U104" s="289"/>
      <c r="V104" s="289"/>
      <c r="W104" s="289"/>
      <c r="X104" s="289"/>
    </row>
    <row r="105" spans="3:24" ht="15.75" customHeight="1">
      <c r="C105" s="328"/>
      <c r="D105" s="289"/>
      <c r="E105" s="289"/>
      <c r="F105" s="289"/>
      <c r="G105" s="289"/>
      <c r="H105" s="289"/>
      <c r="I105" s="289"/>
      <c r="J105" s="289"/>
      <c r="K105" s="289"/>
      <c r="L105" s="289"/>
      <c r="M105" s="289"/>
      <c r="N105" s="289"/>
      <c r="O105" s="289"/>
      <c r="P105" s="289"/>
      <c r="Q105" s="289"/>
      <c r="R105" s="289"/>
      <c r="S105" s="289"/>
      <c r="T105" s="289"/>
      <c r="U105" s="289"/>
      <c r="V105" s="289"/>
      <c r="W105" s="289"/>
      <c r="X105" s="289"/>
    </row>
    <row r="106" spans="3:24" ht="15.75" customHeight="1">
      <c r="C106" s="328"/>
      <c r="D106" s="289"/>
      <c r="E106" s="289"/>
      <c r="F106" s="289"/>
      <c r="G106" s="289"/>
      <c r="H106" s="289"/>
      <c r="I106" s="289"/>
      <c r="J106" s="289"/>
      <c r="K106" s="289"/>
      <c r="L106" s="289"/>
      <c r="M106" s="289"/>
      <c r="N106" s="289"/>
      <c r="O106" s="289"/>
      <c r="P106" s="289"/>
      <c r="Q106" s="289"/>
      <c r="R106" s="289"/>
      <c r="S106" s="289"/>
      <c r="T106" s="289"/>
      <c r="U106" s="289"/>
      <c r="V106" s="289"/>
      <c r="W106" s="289"/>
      <c r="X106" s="289"/>
    </row>
    <row r="107" spans="3:24" ht="15.75" customHeight="1">
      <c r="C107" s="328"/>
      <c r="D107" s="289"/>
      <c r="E107" s="289"/>
      <c r="F107" s="289"/>
      <c r="G107" s="289"/>
      <c r="H107" s="289"/>
      <c r="I107" s="289"/>
      <c r="J107" s="289"/>
      <c r="K107" s="289"/>
      <c r="L107" s="289"/>
      <c r="M107" s="289"/>
      <c r="N107" s="289"/>
      <c r="O107" s="289"/>
      <c r="P107" s="289"/>
      <c r="Q107" s="289"/>
      <c r="R107" s="289"/>
      <c r="S107" s="289"/>
      <c r="T107" s="289"/>
      <c r="U107" s="289"/>
      <c r="V107" s="289"/>
      <c r="W107" s="289"/>
      <c r="X107" s="289"/>
    </row>
    <row r="108" spans="3:24" ht="15.75" customHeight="1">
      <c r="C108" s="328"/>
      <c r="D108" s="289"/>
      <c r="E108" s="289"/>
      <c r="F108" s="289"/>
      <c r="G108" s="289"/>
      <c r="H108" s="289"/>
      <c r="I108" s="289"/>
      <c r="J108" s="289"/>
      <c r="K108" s="289"/>
      <c r="L108" s="289"/>
      <c r="M108" s="289"/>
      <c r="N108" s="289"/>
      <c r="O108" s="289"/>
      <c r="P108" s="289"/>
      <c r="Q108" s="289"/>
      <c r="R108" s="289"/>
      <c r="S108" s="289"/>
      <c r="T108" s="289"/>
      <c r="U108" s="289"/>
      <c r="V108" s="289"/>
      <c r="W108" s="289"/>
      <c r="X108" s="289"/>
    </row>
    <row r="109" spans="3:24" ht="15.75" customHeight="1">
      <c r="C109" s="328"/>
      <c r="D109" s="289"/>
      <c r="E109" s="289"/>
      <c r="F109" s="289"/>
      <c r="G109" s="289"/>
      <c r="H109" s="289"/>
      <c r="I109" s="289"/>
      <c r="J109" s="289"/>
      <c r="K109" s="289"/>
      <c r="L109" s="289"/>
      <c r="M109" s="289"/>
      <c r="N109" s="289"/>
      <c r="O109" s="289"/>
      <c r="P109" s="289"/>
      <c r="Q109" s="289"/>
      <c r="R109" s="289"/>
      <c r="S109" s="289"/>
      <c r="T109" s="289"/>
      <c r="U109" s="289"/>
      <c r="V109" s="289"/>
      <c r="W109" s="289"/>
      <c r="X109" s="289"/>
    </row>
    <row r="110" spans="3:24" ht="15.75" customHeight="1">
      <c r="C110" s="328"/>
      <c r="D110" s="289"/>
      <c r="E110" s="289"/>
      <c r="F110" s="289"/>
      <c r="G110" s="289"/>
      <c r="H110" s="289"/>
      <c r="I110" s="289"/>
      <c r="J110" s="289"/>
      <c r="K110" s="289"/>
      <c r="L110" s="289"/>
      <c r="M110" s="289"/>
      <c r="N110" s="289"/>
      <c r="O110" s="289"/>
      <c r="P110" s="289"/>
      <c r="Q110" s="289"/>
      <c r="R110" s="289"/>
      <c r="S110" s="289"/>
      <c r="T110" s="289"/>
      <c r="U110" s="289"/>
      <c r="V110" s="289"/>
      <c r="W110" s="289"/>
      <c r="X110" s="289"/>
    </row>
    <row r="111" spans="3:24" ht="15.75" customHeight="1">
      <c r="C111" s="328"/>
      <c r="D111" s="289"/>
      <c r="E111" s="289"/>
      <c r="F111" s="289"/>
      <c r="G111" s="289"/>
      <c r="H111" s="289"/>
      <c r="I111" s="289"/>
      <c r="J111" s="289"/>
      <c r="K111" s="289"/>
      <c r="L111" s="289"/>
      <c r="M111" s="289"/>
      <c r="N111" s="289"/>
      <c r="O111" s="289"/>
      <c r="P111" s="289"/>
      <c r="Q111" s="289"/>
      <c r="R111" s="289"/>
      <c r="S111" s="289"/>
      <c r="T111" s="289"/>
      <c r="U111" s="289"/>
      <c r="V111" s="289"/>
      <c r="W111" s="289"/>
      <c r="X111" s="289"/>
    </row>
    <row r="112" spans="3:24" ht="15.75" customHeight="1">
      <c r="C112" s="328"/>
      <c r="D112" s="289"/>
      <c r="E112" s="289"/>
      <c r="F112" s="289"/>
      <c r="G112" s="289"/>
      <c r="H112" s="289"/>
      <c r="I112" s="289"/>
      <c r="J112" s="289"/>
      <c r="K112" s="289"/>
      <c r="L112" s="289"/>
      <c r="M112" s="289"/>
      <c r="N112" s="289"/>
      <c r="O112" s="289"/>
      <c r="P112" s="289"/>
      <c r="Q112" s="289"/>
      <c r="R112" s="289"/>
      <c r="S112" s="289"/>
      <c r="T112" s="289"/>
      <c r="U112" s="289"/>
      <c r="V112" s="289"/>
      <c r="W112" s="289"/>
      <c r="X112" s="289"/>
    </row>
    <row r="113" spans="3:24" ht="15.75" customHeight="1">
      <c r="C113" s="328"/>
      <c r="D113" s="289"/>
      <c r="E113" s="289"/>
      <c r="F113" s="289"/>
      <c r="G113" s="289"/>
      <c r="H113" s="289"/>
      <c r="I113" s="289"/>
      <c r="J113" s="289"/>
      <c r="K113" s="289"/>
      <c r="L113" s="289"/>
      <c r="M113" s="289"/>
      <c r="N113" s="289"/>
      <c r="O113" s="289"/>
      <c r="P113" s="289"/>
      <c r="Q113" s="289"/>
      <c r="R113" s="289"/>
      <c r="S113" s="289"/>
      <c r="T113" s="289"/>
      <c r="U113" s="289"/>
      <c r="V113" s="289"/>
      <c r="W113" s="289"/>
      <c r="X113" s="289"/>
    </row>
    <row r="114" spans="3:24" ht="15.75" customHeight="1">
      <c r="C114" s="328"/>
      <c r="D114" s="289"/>
      <c r="E114" s="289"/>
      <c r="F114" s="289"/>
      <c r="G114" s="289"/>
      <c r="H114" s="289"/>
      <c r="I114" s="289"/>
      <c r="J114" s="289"/>
      <c r="K114" s="289"/>
      <c r="L114" s="289"/>
      <c r="M114" s="289"/>
      <c r="N114" s="289"/>
      <c r="O114" s="289"/>
      <c r="P114" s="289"/>
      <c r="Q114" s="289"/>
      <c r="R114" s="289"/>
      <c r="S114" s="289"/>
      <c r="T114" s="289"/>
      <c r="U114" s="289"/>
      <c r="V114" s="289"/>
      <c r="W114" s="289"/>
      <c r="X114" s="289"/>
    </row>
    <row r="115" spans="3:24" ht="15.75" customHeight="1">
      <c r="C115" s="328"/>
      <c r="D115" s="289"/>
      <c r="E115" s="289"/>
      <c r="F115" s="289"/>
      <c r="G115" s="289"/>
      <c r="H115" s="289"/>
      <c r="I115" s="289"/>
      <c r="J115" s="289"/>
      <c r="K115" s="289"/>
      <c r="L115" s="289"/>
      <c r="M115" s="289"/>
      <c r="N115" s="289"/>
      <c r="O115" s="289"/>
      <c r="P115" s="289"/>
      <c r="Q115" s="289"/>
      <c r="R115" s="289"/>
      <c r="S115" s="289"/>
      <c r="T115" s="289"/>
      <c r="U115" s="289"/>
      <c r="V115" s="289"/>
      <c r="W115" s="289"/>
      <c r="X115" s="289"/>
    </row>
    <row r="116" spans="3:24" ht="15.75" customHeight="1">
      <c r="C116" s="328"/>
      <c r="D116" s="289"/>
      <c r="E116" s="289"/>
      <c r="F116" s="289"/>
      <c r="G116" s="289"/>
      <c r="H116" s="289"/>
      <c r="I116" s="289"/>
      <c r="J116" s="289"/>
      <c r="K116" s="289"/>
      <c r="L116" s="289"/>
      <c r="M116" s="289"/>
      <c r="N116" s="289"/>
      <c r="O116" s="289"/>
      <c r="P116" s="289"/>
      <c r="Q116" s="289"/>
      <c r="R116" s="289"/>
      <c r="S116" s="289"/>
      <c r="T116" s="289"/>
      <c r="U116" s="289"/>
      <c r="V116" s="289"/>
      <c r="W116" s="289"/>
      <c r="X116" s="289"/>
    </row>
    <row r="117" spans="3:24" ht="15.75" customHeight="1">
      <c r="C117" s="328"/>
      <c r="D117" s="289"/>
      <c r="E117" s="289"/>
      <c r="F117" s="289"/>
      <c r="G117" s="289"/>
      <c r="H117" s="289"/>
      <c r="I117" s="289"/>
      <c r="J117" s="289"/>
      <c r="K117" s="289"/>
      <c r="L117" s="289"/>
      <c r="M117" s="289"/>
      <c r="N117" s="289"/>
      <c r="O117" s="289"/>
      <c r="P117" s="289"/>
      <c r="Q117" s="289"/>
      <c r="R117" s="289"/>
      <c r="S117" s="289"/>
      <c r="T117" s="289"/>
      <c r="U117" s="289"/>
      <c r="V117" s="289"/>
      <c r="W117" s="289"/>
      <c r="X117" s="289"/>
    </row>
    <row r="118" spans="3:24" ht="15.75" customHeight="1">
      <c r="C118" s="328"/>
      <c r="D118" s="289"/>
      <c r="E118" s="289"/>
      <c r="F118" s="289"/>
      <c r="G118" s="289"/>
      <c r="H118" s="289"/>
      <c r="I118" s="289"/>
      <c r="J118" s="289"/>
      <c r="K118" s="289"/>
      <c r="L118" s="289"/>
      <c r="M118" s="289"/>
      <c r="N118" s="289"/>
      <c r="O118" s="289"/>
      <c r="P118" s="289"/>
      <c r="Q118" s="289"/>
      <c r="R118" s="289"/>
      <c r="S118" s="289"/>
      <c r="T118" s="289"/>
      <c r="U118" s="289"/>
      <c r="V118" s="289"/>
      <c r="W118" s="289"/>
      <c r="X118" s="289"/>
    </row>
    <row r="119" spans="3:24" ht="15.75" customHeight="1">
      <c r="C119" s="328"/>
      <c r="D119" s="289"/>
      <c r="E119" s="289"/>
      <c r="F119" s="289"/>
      <c r="G119" s="289"/>
      <c r="H119" s="289"/>
      <c r="I119" s="289"/>
      <c r="J119" s="289"/>
      <c r="K119" s="289"/>
      <c r="L119" s="289"/>
      <c r="M119" s="289"/>
      <c r="N119" s="289"/>
      <c r="O119" s="289"/>
      <c r="P119" s="289"/>
      <c r="Q119" s="289"/>
      <c r="R119" s="289"/>
      <c r="S119" s="289"/>
      <c r="T119" s="289"/>
      <c r="U119" s="289"/>
      <c r="V119" s="289"/>
      <c r="W119" s="289"/>
      <c r="X119" s="289"/>
    </row>
    <row r="120" spans="3:24" ht="15.75" customHeight="1">
      <c r="C120" s="328"/>
      <c r="D120" s="289"/>
      <c r="E120" s="289"/>
      <c r="F120" s="289"/>
      <c r="G120" s="289"/>
      <c r="H120" s="289"/>
      <c r="I120" s="289"/>
      <c r="J120" s="289"/>
      <c r="K120" s="289"/>
      <c r="L120" s="289"/>
      <c r="M120" s="289"/>
      <c r="N120" s="289"/>
      <c r="O120" s="289"/>
      <c r="P120" s="289"/>
      <c r="Q120" s="289"/>
      <c r="R120" s="289"/>
      <c r="S120" s="289"/>
      <c r="T120" s="289"/>
      <c r="U120" s="289"/>
      <c r="V120" s="289"/>
      <c r="W120" s="289"/>
      <c r="X120" s="289"/>
    </row>
    <row r="121" spans="3:24" ht="15.75" customHeight="1">
      <c r="C121" s="328"/>
      <c r="D121" s="289"/>
      <c r="E121" s="289"/>
      <c r="F121" s="289"/>
      <c r="G121" s="289"/>
      <c r="H121" s="289"/>
      <c r="I121" s="289"/>
      <c r="J121" s="289"/>
      <c r="K121" s="289"/>
      <c r="L121" s="289"/>
      <c r="M121" s="289"/>
      <c r="N121" s="289"/>
      <c r="O121" s="289"/>
      <c r="P121" s="289"/>
      <c r="Q121" s="289"/>
      <c r="R121" s="289"/>
      <c r="S121" s="289"/>
      <c r="T121" s="289"/>
      <c r="U121" s="289"/>
      <c r="V121" s="289"/>
      <c r="W121" s="289"/>
      <c r="X121" s="289"/>
    </row>
    <row r="122" spans="3:24" ht="15.75" customHeight="1">
      <c r="C122" s="328"/>
      <c r="D122" s="289"/>
      <c r="E122" s="289"/>
      <c r="F122" s="289"/>
      <c r="G122" s="289"/>
      <c r="H122" s="289"/>
      <c r="I122" s="289"/>
      <c r="J122" s="289"/>
      <c r="K122" s="289"/>
      <c r="L122" s="289"/>
      <c r="M122" s="289"/>
      <c r="N122" s="289"/>
      <c r="O122" s="289"/>
      <c r="P122" s="289"/>
      <c r="Q122" s="289"/>
      <c r="R122" s="289"/>
      <c r="S122" s="289"/>
      <c r="T122" s="289"/>
      <c r="U122" s="289"/>
      <c r="V122" s="289"/>
      <c r="W122" s="289"/>
      <c r="X122" s="289"/>
    </row>
    <row r="123" spans="3:24" ht="15.75" customHeight="1">
      <c r="C123" s="328"/>
      <c r="D123" s="289"/>
      <c r="E123" s="289"/>
      <c r="F123" s="289"/>
      <c r="G123" s="289"/>
      <c r="H123" s="289"/>
      <c r="I123" s="289"/>
      <c r="J123" s="289"/>
      <c r="K123" s="289"/>
      <c r="L123" s="289"/>
      <c r="M123" s="289"/>
      <c r="N123" s="289"/>
      <c r="O123" s="289"/>
      <c r="P123" s="289"/>
      <c r="Q123" s="289"/>
      <c r="R123" s="289"/>
      <c r="S123" s="289"/>
      <c r="T123" s="289"/>
      <c r="U123" s="289"/>
      <c r="V123" s="289"/>
      <c r="W123" s="289"/>
      <c r="X123" s="289"/>
    </row>
    <row r="124" spans="3:24" ht="15.75" customHeight="1">
      <c r="C124" s="328"/>
      <c r="D124" s="289"/>
      <c r="E124" s="289"/>
      <c r="F124" s="289"/>
      <c r="G124" s="289"/>
      <c r="H124" s="289"/>
      <c r="I124" s="289"/>
      <c r="J124" s="289"/>
      <c r="K124" s="289"/>
      <c r="L124" s="289"/>
      <c r="M124" s="289"/>
      <c r="N124" s="289"/>
      <c r="O124" s="289"/>
      <c r="P124" s="289"/>
      <c r="Q124" s="289"/>
      <c r="R124" s="289"/>
      <c r="S124" s="289"/>
      <c r="T124" s="289"/>
      <c r="U124" s="289"/>
      <c r="V124" s="289"/>
      <c r="W124" s="289"/>
      <c r="X124" s="289"/>
    </row>
    <row r="125" spans="3:24" ht="15.75" customHeight="1">
      <c r="C125" s="328"/>
      <c r="D125" s="289"/>
      <c r="E125" s="289"/>
      <c r="F125" s="289"/>
      <c r="G125" s="289"/>
      <c r="H125" s="289"/>
      <c r="I125" s="289"/>
      <c r="J125" s="289"/>
      <c r="K125" s="289"/>
      <c r="L125" s="289"/>
      <c r="M125" s="289"/>
      <c r="N125" s="289"/>
      <c r="O125" s="289"/>
      <c r="P125" s="289"/>
      <c r="Q125" s="289"/>
      <c r="R125" s="289"/>
      <c r="S125" s="289"/>
      <c r="T125" s="289"/>
      <c r="U125" s="289"/>
      <c r="V125" s="289"/>
      <c r="W125" s="289"/>
      <c r="X125" s="289"/>
    </row>
    <row r="126" spans="3:24" ht="15.75" customHeight="1">
      <c r="C126" s="328"/>
      <c r="D126" s="289"/>
      <c r="E126" s="289"/>
      <c r="F126" s="289"/>
      <c r="G126" s="289"/>
      <c r="H126" s="289"/>
      <c r="I126" s="289"/>
      <c r="J126" s="289"/>
      <c r="K126" s="289"/>
      <c r="L126" s="289"/>
      <c r="M126" s="289"/>
      <c r="N126" s="289"/>
      <c r="O126" s="289"/>
      <c r="P126" s="289"/>
      <c r="Q126" s="289"/>
      <c r="R126" s="289"/>
      <c r="S126" s="289"/>
      <c r="T126" s="289"/>
      <c r="U126" s="289"/>
      <c r="V126" s="289"/>
      <c r="W126" s="289"/>
      <c r="X126" s="289"/>
    </row>
    <row r="127" spans="3:24" ht="15.75" customHeight="1">
      <c r="C127" s="328"/>
      <c r="D127" s="289"/>
      <c r="E127" s="289"/>
      <c r="F127" s="289"/>
      <c r="G127" s="289"/>
      <c r="H127" s="289"/>
      <c r="I127" s="289"/>
      <c r="J127" s="289"/>
      <c r="K127" s="289"/>
      <c r="L127" s="289"/>
      <c r="M127" s="289"/>
      <c r="N127" s="289"/>
      <c r="O127" s="289"/>
      <c r="P127" s="289"/>
      <c r="Q127" s="289"/>
      <c r="R127" s="289"/>
      <c r="S127" s="289"/>
      <c r="T127" s="289"/>
      <c r="U127" s="289"/>
      <c r="V127" s="289"/>
      <c r="W127" s="289"/>
      <c r="X127" s="289"/>
    </row>
    <row r="128" spans="3:24" ht="15.75" customHeight="1">
      <c r="C128" s="328"/>
      <c r="D128" s="289"/>
      <c r="E128" s="289"/>
      <c r="F128" s="289"/>
      <c r="G128" s="289"/>
      <c r="H128" s="289"/>
      <c r="I128" s="289"/>
      <c r="J128" s="289"/>
      <c r="K128" s="289"/>
      <c r="L128" s="289"/>
      <c r="M128" s="289"/>
      <c r="N128" s="289"/>
      <c r="O128" s="289"/>
      <c r="P128" s="289"/>
      <c r="Q128" s="289"/>
      <c r="R128" s="289"/>
      <c r="S128" s="289"/>
      <c r="T128" s="289"/>
      <c r="U128" s="289"/>
      <c r="V128" s="289"/>
      <c r="W128" s="289"/>
      <c r="X128" s="289"/>
    </row>
    <row r="129" spans="3:24" ht="15.75" customHeight="1">
      <c r="C129" s="328"/>
      <c r="D129" s="289"/>
      <c r="E129" s="289"/>
      <c r="F129" s="289"/>
      <c r="G129" s="289"/>
      <c r="H129" s="289"/>
      <c r="I129" s="289"/>
      <c r="J129" s="289"/>
      <c r="K129" s="289"/>
      <c r="L129" s="289"/>
      <c r="M129" s="289"/>
      <c r="N129" s="289"/>
      <c r="O129" s="289"/>
      <c r="P129" s="289"/>
      <c r="Q129" s="289"/>
      <c r="R129" s="289"/>
      <c r="S129" s="289"/>
      <c r="T129" s="289"/>
      <c r="U129" s="289"/>
      <c r="V129" s="289"/>
      <c r="W129" s="289"/>
      <c r="X129" s="289"/>
    </row>
    <row r="130" spans="3:24" ht="15.75" customHeight="1">
      <c r="C130" s="328"/>
      <c r="D130" s="289"/>
      <c r="E130" s="289"/>
      <c r="F130" s="289"/>
      <c r="G130" s="289"/>
      <c r="H130" s="289"/>
      <c r="I130" s="289"/>
      <c r="J130" s="289"/>
      <c r="K130" s="289"/>
      <c r="L130" s="289"/>
      <c r="M130" s="289"/>
      <c r="N130" s="289"/>
      <c r="O130" s="289"/>
      <c r="P130" s="289"/>
      <c r="Q130" s="289"/>
      <c r="R130" s="289"/>
      <c r="S130" s="289"/>
      <c r="T130" s="289"/>
      <c r="U130" s="289"/>
      <c r="V130" s="289"/>
      <c r="W130" s="289"/>
      <c r="X130" s="289"/>
    </row>
    <row r="131" spans="3:24" ht="15.75" customHeight="1">
      <c r="C131" s="328"/>
      <c r="D131" s="289"/>
      <c r="E131" s="289"/>
      <c r="F131" s="289"/>
      <c r="G131" s="289"/>
      <c r="H131" s="289"/>
      <c r="I131" s="289"/>
      <c r="J131" s="289"/>
      <c r="K131" s="289"/>
      <c r="L131" s="289"/>
      <c r="M131" s="289"/>
      <c r="N131" s="289"/>
      <c r="O131" s="289"/>
      <c r="P131" s="289"/>
      <c r="Q131" s="289"/>
      <c r="R131" s="289"/>
      <c r="S131" s="289"/>
      <c r="T131" s="289"/>
      <c r="U131" s="289"/>
      <c r="V131" s="289"/>
      <c r="W131" s="289"/>
      <c r="X131" s="289"/>
    </row>
    <row r="132" spans="3:24" ht="15.75" customHeight="1">
      <c r="C132" s="328"/>
      <c r="D132" s="289"/>
      <c r="E132" s="289"/>
      <c r="F132" s="289"/>
      <c r="G132" s="289"/>
      <c r="H132" s="289"/>
      <c r="I132" s="289"/>
      <c r="J132" s="289"/>
      <c r="K132" s="289"/>
      <c r="L132" s="289"/>
      <c r="M132" s="289"/>
      <c r="N132" s="289"/>
      <c r="O132" s="289"/>
      <c r="P132" s="289"/>
      <c r="Q132" s="289"/>
      <c r="R132" s="289"/>
      <c r="S132" s="289"/>
      <c r="T132" s="289"/>
      <c r="U132" s="289"/>
      <c r="V132" s="289"/>
      <c r="W132" s="289"/>
      <c r="X132" s="289"/>
    </row>
    <row r="133" spans="3:24" ht="15.75" customHeight="1">
      <c r="C133" s="328"/>
      <c r="D133" s="289"/>
      <c r="E133" s="289"/>
      <c r="F133" s="289"/>
      <c r="G133" s="289"/>
      <c r="H133" s="289"/>
      <c r="I133" s="289"/>
      <c r="J133" s="289"/>
      <c r="K133" s="289"/>
      <c r="L133" s="289"/>
      <c r="M133" s="289"/>
      <c r="N133" s="289"/>
      <c r="O133" s="289"/>
      <c r="P133" s="289"/>
      <c r="Q133" s="289"/>
      <c r="R133" s="289"/>
      <c r="S133" s="289"/>
      <c r="T133" s="289"/>
      <c r="U133" s="289"/>
      <c r="V133" s="289"/>
      <c r="W133" s="289"/>
      <c r="X133" s="289"/>
    </row>
    <row r="134" spans="3:24" ht="15.75" customHeight="1">
      <c r="C134" s="328"/>
      <c r="D134" s="289"/>
      <c r="E134" s="289"/>
      <c r="F134" s="289"/>
      <c r="G134" s="289"/>
      <c r="H134" s="289"/>
      <c r="I134" s="289"/>
      <c r="J134" s="289"/>
      <c r="K134" s="289"/>
      <c r="L134" s="289"/>
      <c r="M134" s="289"/>
      <c r="N134" s="289"/>
      <c r="O134" s="289"/>
      <c r="P134" s="289"/>
      <c r="Q134" s="289"/>
      <c r="R134" s="289"/>
      <c r="S134" s="289"/>
      <c r="T134" s="289"/>
      <c r="U134" s="289"/>
      <c r="V134" s="289"/>
      <c r="W134" s="289"/>
      <c r="X134" s="289"/>
    </row>
    <row r="135" spans="3:24" ht="15.75" customHeight="1">
      <c r="C135" s="328"/>
      <c r="D135" s="289"/>
      <c r="E135" s="289"/>
      <c r="F135" s="289"/>
      <c r="G135" s="289"/>
      <c r="H135" s="289"/>
      <c r="I135" s="289"/>
      <c r="J135" s="289"/>
      <c r="K135" s="289"/>
      <c r="L135" s="289"/>
      <c r="M135" s="289"/>
      <c r="N135" s="289"/>
      <c r="O135" s="289"/>
      <c r="P135" s="289"/>
      <c r="Q135" s="289"/>
      <c r="R135" s="289"/>
      <c r="S135" s="289"/>
      <c r="T135" s="289"/>
      <c r="U135" s="289"/>
      <c r="V135" s="289"/>
      <c r="W135" s="289"/>
      <c r="X135" s="289"/>
    </row>
    <row r="136" spans="3:24" ht="15.75" customHeight="1">
      <c r="C136" s="328"/>
      <c r="D136" s="289"/>
      <c r="E136" s="289"/>
      <c r="F136" s="289"/>
      <c r="G136" s="289"/>
      <c r="H136" s="289"/>
      <c r="I136" s="289"/>
      <c r="J136" s="289"/>
      <c r="K136" s="289"/>
      <c r="L136" s="289"/>
      <c r="M136" s="289"/>
      <c r="N136" s="289"/>
      <c r="O136" s="289"/>
      <c r="P136" s="289"/>
      <c r="Q136" s="289"/>
      <c r="R136" s="289"/>
      <c r="S136" s="289"/>
      <c r="T136" s="289"/>
      <c r="U136" s="289"/>
      <c r="V136" s="289"/>
      <c r="W136" s="289"/>
      <c r="X136" s="289"/>
    </row>
    <row r="137" spans="3:24" ht="15.75" customHeight="1">
      <c r="C137" s="328"/>
      <c r="D137" s="289"/>
      <c r="E137" s="289"/>
      <c r="F137" s="289"/>
      <c r="G137" s="289"/>
      <c r="H137" s="289"/>
      <c r="I137" s="289"/>
      <c r="J137" s="289"/>
      <c r="K137" s="289"/>
      <c r="L137" s="289"/>
      <c r="M137" s="289"/>
      <c r="N137" s="289"/>
      <c r="O137" s="289"/>
      <c r="P137" s="289"/>
      <c r="Q137" s="289"/>
      <c r="R137" s="289"/>
      <c r="S137" s="289"/>
      <c r="T137" s="289"/>
      <c r="U137" s="289"/>
      <c r="V137" s="289"/>
      <c r="W137" s="289"/>
      <c r="X137" s="289"/>
    </row>
    <row r="138" spans="3:24" ht="15.75" customHeight="1">
      <c r="C138" s="328"/>
      <c r="D138" s="289"/>
      <c r="E138" s="289"/>
      <c r="F138" s="289"/>
      <c r="G138" s="289"/>
      <c r="H138" s="289"/>
      <c r="I138" s="289"/>
      <c r="J138" s="289"/>
      <c r="K138" s="289"/>
      <c r="L138" s="289"/>
      <c r="M138" s="289"/>
      <c r="N138" s="289"/>
      <c r="O138" s="289"/>
      <c r="P138" s="289"/>
      <c r="Q138" s="289"/>
      <c r="R138" s="289"/>
      <c r="S138" s="289"/>
      <c r="T138" s="289"/>
      <c r="U138" s="289"/>
      <c r="V138" s="289"/>
      <c r="W138" s="289"/>
      <c r="X138" s="289"/>
    </row>
    <row r="139" spans="3:24" ht="15.75" customHeight="1">
      <c r="C139" s="328"/>
      <c r="D139" s="289"/>
      <c r="E139" s="289"/>
      <c r="F139" s="289"/>
      <c r="G139" s="289"/>
      <c r="H139" s="289"/>
      <c r="I139" s="289"/>
      <c r="J139" s="289"/>
      <c r="K139" s="289"/>
      <c r="L139" s="289"/>
      <c r="M139" s="289"/>
      <c r="N139" s="289"/>
      <c r="O139" s="289"/>
      <c r="P139" s="289"/>
      <c r="Q139" s="289"/>
      <c r="R139" s="289"/>
      <c r="S139" s="289"/>
      <c r="T139" s="289"/>
      <c r="U139" s="289"/>
      <c r="V139" s="289"/>
      <c r="W139" s="289"/>
      <c r="X139" s="289"/>
    </row>
    <row r="140" spans="3:24" ht="15.75" customHeight="1">
      <c r="C140" s="328"/>
      <c r="D140" s="289"/>
      <c r="E140" s="289"/>
      <c r="F140" s="289"/>
      <c r="G140" s="289"/>
      <c r="H140" s="289"/>
      <c r="I140" s="289"/>
      <c r="J140" s="289"/>
      <c r="K140" s="289"/>
      <c r="L140" s="289"/>
      <c r="M140" s="289"/>
      <c r="N140" s="289"/>
      <c r="O140" s="289"/>
      <c r="P140" s="289"/>
      <c r="Q140" s="289"/>
      <c r="R140" s="289"/>
      <c r="S140" s="289"/>
      <c r="T140" s="289"/>
      <c r="U140" s="289"/>
      <c r="V140" s="289"/>
      <c r="W140" s="289"/>
      <c r="X140" s="289"/>
    </row>
    <row r="141" spans="3:24" ht="15.75" customHeight="1">
      <c r="C141" s="328"/>
      <c r="D141" s="289"/>
      <c r="E141" s="289"/>
      <c r="F141" s="289"/>
      <c r="G141" s="289"/>
      <c r="H141" s="289"/>
      <c r="I141" s="289"/>
      <c r="J141" s="289"/>
      <c r="K141" s="289"/>
      <c r="L141" s="289"/>
      <c r="M141" s="289"/>
      <c r="N141" s="289"/>
      <c r="O141" s="289"/>
      <c r="P141" s="289"/>
      <c r="Q141" s="289"/>
      <c r="R141" s="289"/>
      <c r="S141" s="289"/>
      <c r="T141" s="289"/>
      <c r="U141" s="289"/>
      <c r="V141" s="289"/>
      <c r="W141" s="289"/>
      <c r="X141" s="289"/>
    </row>
    <row r="142" spans="3:24" ht="15.75" customHeight="1">
      <c r="C142" s="328"/>
      <c r="D142" s="289"/>
      <c r="E142" s="289"/>
      <c r="F142" s="289"/>
      <c r="G142" s="289"/>
      <c r="H142" s="289"/>
      <c r="I142" s="289"/>
      <c r="J142" s="289"/>
      <c r="K142" s="289"/>
      <c r="L142" s="289"/>
      <c r="M142" s="289"/>
      <c r="N142" s="289"/>
      <c r="O142" s="289"/>
      <c r="P142" s="289"/>
      <c r="Q142" s="289"/>
      <c r="R142" s="289"/>
      <c r="S142" s="289"/>
      <c r="T142" s="289"/>
      <c r="U142" s="289"/>
      <c r="V142" s="289"/>
      <c r="W142" s="289"/>
      <c r="X142" s="289"/>
    </row>
    <row r="143" spans="3:24" ht="15.75" customHeight="1">
      <c r="C143" s="328"/>
      <c r="D143" s="289"/>
      <c r="E143" s="289"/>
      <c r="F143" s="289"/>
      <c r="G143" s="289"/>
      <c r="H143" s="289"/>
      <c r="I143" s="289"/>
      <c r="J143" s="289"/>
      <c r="K143" s="289"/>
      <c r="L143" s="289"/>
      <c r="M143" s="289"/>
      <c r="N143" s="289"/>
      <c r="O143" s="289"/>
      <c r="P143" s="289"/>
      <c r="Q143" s="289"/>
      <c r="R143" s="289"/>
      <c r="S143" s="289"/>
      <c r="T143" s="289"/>
      <c r="U143" s="289"/>
      <c r="V143" s="289"/>
      <c r="W143" s="289"/>
      <c r="X143" s="289"/>
    </row>
    <row r="144" spans="3:24" ht="15.75" customHeight="1">
      <c r="C144" s="328"/>
      <c r="D144" s="289"/>
      <c r="E144" s="289"/>
      <c r="F144" s="289"/>
      <c r="G144" s="289"/>
      <c r="H144" s="289"/>
      <c r="I144" s="289"/>
      <c r="J144" s="289"/>
      <c r="K144" s="289"/>
      <c r="L144" s="289"/>
      <c r="M144" s="289"/>
      <c r="N144" s="289"/>
      <c r="O144" s="289"/>
      <c r="P144" s="289"/>
      <c r="Q144" s="289"/>
      <c r="R144" s="289"/>
      <c r="S144" s="289"/>
      <c r="T144" s="289"/>
      <c r="U144" s="289"/>
      <c r="V144" s="289"/>
      <c r="W144" s="289"/>
      <c r="X144" s="289"/>
    </row>
    <row r="145" spans="3:24" ht="15.75" customHeight="1">
      <c r="C145" s="328"/>
      <c r="D145" s="289"/>
      <c r="E145" s="289"/>
      <c r="F145" s="289"/>
      <c r="G145" s="289"/>
      <c r="H145" s="289"/>
      <c r="I145" s="289"/>
      <c r="J145" s="289"/>
      <c r="K145" s="289"/>
      <c r="L145" s="289"/>
      <c r="M145" s="289"/>
      <c r="N145" s="289"/>
      <c r="O145" s="289"/>
      <c r="P145" s="289"/>
      <c r="Q145" s="289"/>
      <c r="R145" s="289"/>
      <c r="S145" s="289"/>
      <c r="T145" s="289"/>
      <c r="U145" s="289"/>
      <c r="V145" s="289"/>
      <c r="W145" s="289"/>
      <c r="X145" s="289"/>
    </row>
    <row r="146" spans="3:24" ht="15.75" customHeight="1">
      <c r="C146" s="328"/>
      <c r="D146" s="289"/>
      <c r="E146" s="289"/>
      <c r="F146" s="289"/>
      <c r="G146" s="289"/>
      <c r="H146" s="289"/>
      <c r="I146" s="289"/>
      <c r="J146" s="289"/>
      <c r="K146" s="289"/>
      <c r="L146" s="289"/>
      <c r="M146" s="289"/>
      <c r="N146" s="289"/>
      <c r="O146" s="289"/>
      <c r="P146" s="289"/>
      <c r="Q146" s="289"/>
      <c r="R146" s="289"/>
      <c r="S146" s="289"/>
      <c r="T146" s="289"/>
      <c r="U146" s="289"/>
      <c r="V146" s="289"/>
      <c r="W146" s="289"/>
      <c r="X146" s="289"/>
    </row>
    <row r="147" spans="3:24" ht="15.75" customHeight="1">
      <c r="C147" s="328"/>
      <c r="D147" s="289"/>
      <c r="E147" s="289"/>
      <c r="F147" s="289"/>
      <c r="G147" s="289"/>
      <c r="H147" s="289"/>
      <c r="I147" s="289"/>
      <c r="J147" s="289"/>
      <c r="K147" s="289"/>
      <c r="L147" s="289"/>
      <c r="M147" s="289"/>
      <c r="N147" s="289"/>
      <c r="O147" s="289"/>
      <c r="P147" s="289"/>
      <c r="Q147" s="289"/>
      <c r="R147" s="289"/>
      <c r="S147" s="289"/>
      <c r="T147" s="289"/>
      <c r="U147" s="289"/>
      <c r="V147" s="289"/>
      <c r="W147" s="289"/>
      <c r="X147" s="289"/>
    </row>
    <row r="148" spans="3:24" ht="15.75" customHeight="1">
      <c r="C148" s="328"/>
      <c r="D148" s="289"/>
      <c r="E148" s="289"/>
      <c r="F148" s="289"/>
      <c r="G148" s="289"/>
      <c r="H148" s="289"/>
      <c r="I148" s="289"/>
      <c r="J148" s="289"/>
      <c r="K148" s="289"/>
      <c r="L148" s="289"/>
      <c r="M148" s="289"/>
      <c r="N148" s="289"/>
      <c r="O148" s="289"/>
      <c r="P148" s="289"/>
      <c r="Q148" s="289"/>
      <c r="R148" s="289"/>
      <c r="S148" s="289"/>
      <c r="T148" s="289"/>
      <c r="U148" s="289"/>
      <c r="V148" s="289"/>
      <c r="W148" s="289"/>
      <c r="X148" s="289"/>
    </row>
    <row r="149" spans="3:24" ht="15.75" customHeight="1">
      <c r="C149" s="328"/>
      <c r="D149" s="289"/>
      <c r="E149" s="289"/>
      <c r="F149" s="289"/>
      <c r="G149" s="289"/>
      <c r="H149" s="289"/>
      <c r="I149" s="289"/>
      <c r="J149" s="289"/>
      <c r="K149" s="289"/>
      <c r="L149" s="289"/>
      <c r="M149" s="289"/>
      <c r="N149" s="289"/>
      <c r="O149" s="289"/>
      <c r="P149" s="289"/>
      <c r="Q149" s="289"/>
      <c r="R149" s="289"/>
      <c r="S149" s="289"/>
      <c r="T149" s="289"/>
      <c r="U149" s="289"/>
      <c r="V149" s="289"/>
      <c r="W149" s="289"/>
      <c r="X149" s="289"/>
    </row>
    <row r="150" spans="3:24" ht="15.75" customHeight="1">
      <c r="C150" s="328"/>
      <c r="D150" s="289"/>
      <c r="E150" s="289"/>
      <c r="F150" s="289"/>
      <c r="G150" s="289"/>
      <c r="H150" s="289"/>
      <c r="I150" s="289"/>
      <c r="J150" s="289"/>
      <c r="K150" s="289"/>
      <c r="L150" s="289"/>
      <c r="M150" s="289"/>
      <c r="N150" s="289"/>
      <c r="O150" s="289"/>
      <c r="P150" s="289"/>
      <c r="Q150" s="289"/>
      <c r="R150" s="289"/>
      <c r="S150" s="289"/>
      <c r="T150" s="289"/>
      <c r="U150" s="289"/>
      <c r="V150" s="289"/>
      <c r="W150" s="289"/>
      <c r="X150" s="289"/>
    </row>
    <row r="151" spans="3:24" ht="15.75" customHeight="1">
      <c r="C151" s="328"/>
      <c r="D151" s="289"/>
      <c r="E151" s="289"/>
      <c r="F151" s="289"/>
      <c r="G151" s="289"/>
      <c r="H151" s="289"/>
      <c r="I151" s="289"/>
      <c r="J151" s="289"/>
      <c r="K151" s="289"/>
      <c r="L151" s="289"/>
      <c r="M151" s="289"/>
      <c r="N151" s="289"/>
      <c r="O151" s="289"/>
      <c r="P151" s="289"/>
      <c r="Q151" s="289"/>
      <c r="R151" s="289"/>
      <c r="S151" s="289"/>
      <c r="T151" s="289"/>
      <c r="U151" s="289"/>
      <c r="V151" s="289"/>
      <c r="W151" s="289"/>
      <c r="X151" s="289"/>
    </row>
    <row r="152" spans="3:24" ht="15.75" customHeight="1">
      <c r="C152" s="328"/>
      <c r="D152" s="289"/>
      <c r="E152" s="289"/>
      <c r="F152" s="289"/>
      <c r="G152" s="289"/>
      <c r="H152" s="289"/>
      <c r="I152" s="289"/>
      <c r="J152" s="289"/>
      <c r="K152" s="289"/>
      <c r="L152" s="289"/>
      <c r="M152" s="289"/>
      <c r="N152" s="289"/>
      <c r="O152" s="289"/>
      <c r="P152" s="289"/>
      <c r="Q152" s="289"/>
      <c r="R152" s="289"/>
      <c r="S152" s="289"/>
      <c r="T152" s="289"/>
      <c r="U152" s="289"/>
      <c r="V152" s="289"/>
      <c r="W152" s="289"/>
      <c r="X152" s="289"/>
    </row>
    <row r="153" spans="3:24" ht="15.75" customHeight="1">
      <c r="C153" s="328"/>
      <c r="D153" s="289"/>
      <c r="E153" s="289"/>
      <c r="F153" s="289"/>
      <c r="G153" s="289"/>
      <c r="H153" s="289"/>
      <c r="I153" s="289"/>
      <c r="J153" s="289"/>
      <c r="K153" s="289"/>
      <c r="L153" s="289"/>
      <c r="M153" s="289"/>
      <c r="N153" s="289"/>
      <c r="O153" s="289"/>
      <c r="P153" s="289"/>
      <c r="Q153" s="289"/>
      <c r="R153" s="289"/>
      <c r="S153" s="289"/>
      <c r="T153" s="289"/>
      <c r="U153" s="289"/>
      <c r="V153" s="289"/>
      <c r="W153" s="289"/>
      <c r="X153" s="289"/>
    </row>
    <row r="154" spans="3:24" ht="15.75" customHeight="1">
      <c r="C154" s="328"/>
      <c r="D154" s="289"/>
      <c r="E154" s="289"/>
      <c r="F154" s="289"/>
      <c r="G154" s="289"/>
      <c r="H154" s="289"/>
      <c r="I154" s="289"/>
      <c r="J154" s="289"/>
      <c r="K154" s="289"/>
      <c r="L154" s="289"/>
      <c r="M154" s="289"/>
      <c r="N154" s="289"/>
      <c r="O154" s="289"/>
      <c r="P154" s="289"/>
      <c r="Q154" s="289"/>
      <c r="R154" s="289"/>
      <c r="S154" s="289"/>
      <c r="T154" s="289"/>
      <c r="U154" s="289"/>
      <c r="V154" s="289"/>
      <c r="W154" s="289"/>
      <c r="X154" s="289"/>
    </row>
    <row r="155" spans="3:24" ht="15.75" customHeight="1">
      <c r="C155" s="328"/>
      <c r="D155" s="289"/>
      <c r="E155" s="289"/>
      <c r="F155" s="289"/>
      <c r="G155" s="289"/>
      <c r="H155" s="289"/>
      <c r="I155" s="289"/>
      <c r="J155" s="289"/>
      <c r="K155" s="289"/>
      <c r="L155" s="289"/>
      <c r="M155" s="289"/>
      <c r="N155" s="289"/>
      <c r="O155" s="289"/>
      <c r="P155" s="289"/>
      <c r="Q155" s="289"/>
      <c r="R155" s="289"/>
      <c r="S155" s="289"/>
      <c r="T155" s="289"/>
      <c r="U155" s="289"/>
      <c r="V155" s="289"/>
      <c r="W155" s="289"/>
      <c r="X155" s="289"/>
    </row>
    <row r="156" spans="3:24" ht="15.75" customHeight="1">
      <c r="C156" s="328"/>
      <c r="D156" s="289"/>
      <c r="E156" s="289"/>
      <c r="F156" s="289"/>
      <c r="G156" s="289"/>
      <c r="H156" s="289"/>
      <c r="I156" s="289"/>
      <c r="J156" s="289"/>
      <c r="K156" s="289"/>
      <c r="L156" s="289"/>
      <c r="M156" s="289"/>
      <c r="N156" s="289"/>
      <c r="O156" s="289"/>
      <c r="P156" s="289"/>
      <c r="Q156" s="289"/>
      <c r="R156" s="289"/>
      <c r="S156" s="289"/>
      <c r="T156" s="289"/>
      <c r="U156" s="289"/>
      <c r="V156" s="289"/>
      <c r="W156" s="289"/>
      <c r="X156" s="289"/>
    </row>
    <row r="157" spans="3:24" ht="15.75" customHeight="1">
      <c r="C157" s="328"/>
      <c r="D157" s="289"/>
      <c r="E157" s="289"/>
      <c r="F157" s="289"/>
      <c r="G157" s="289"/>
      <c r="H157" s="289"/>
      <c r="I157" s="289"/>
      <c r="J157" s="289"/>
      <c r="K157" s="289"/>
      <c r="L157" s="289"/>
      <c r="M157" s="289"/>
      <c r="N157" s="289"/>
      <c r="O157" s="289"/>
      <c r="P157" s="289"/>
      <c r="Q157" s="289"/>
      <c r="R157" s="289"/>
      <c r="S157" s="289"/>
      <c r="T157" s="289"/>
      <c r="U157" s="289"/>
      <c r="V157" s="289"/>
      <c r="W157" s="289"/>
      <c r="X157" s="289"/>
    </row>
    <row r="158" spans="3:24" ht="15.75" customHeight="1">
      <c r="C158" s="328"/>
      <c r="D158" s="289"/>
      <c r="E158" s="289"/>
      <c r="F158" s="289"/>
      <c r="G158" s="289"/>
      <c r="H158" s="289"/>
      <c r="I158" s="289"/>
      <c r="J158" s="289"/>
      <c r="K158" s="289"/>
      <c r="L158" s="289"/>
      <c r="M158" s="289"/>
      <c r="N158" s="289"/>
      <c r="O158" s="289"/>
      <c r="P158" s="289"/>
      <c r="Q158" s="289"/>
      <c r="R158" s="289"/>
      <c r="S158" s="289"/>
      <c r="T158" s="289"/>
      <c r="U158" s="289"/>
      <c r="V158" s="289"/>
      <c r="W158" s="289"/>
      <c r="X158" s="289"/>
    </row>
    <row r="159" spans="3:24" ht="15.75" customHeight="1">
      <c r="C159" s="328"/>
      <c r="D159" s="289"/>
      <c r="E159" s="289"/>
      <c r="F159" s="289"/>
      <c r="G159" s="289"/>
      <c r="H159" s="289"/>
      <c r="I159" s="289"/>
      <c r="J159" s="289"/>
      <c r="K159" s="289"/>
      <c r="L159" s="289"/>
      <c r="M159" s="289"/>
      <c r="N159" s="289"/>
      <c r="O159" s="289"/>
      <c r="P159" s="289"/>
      <c r="Q159" s="289"/>
      <c r="R159" s="289"/>
      <c r="S159" s="289"/>
      <c r="T159" s="289"/>
      <c r="U159" s="289"/>
      <c r="V159" s="289"/>
      <c r="W159" s="289"/>
      <c r="X159" s="289"/>
    </row>
    <row r="160" spans="3:24" ht="15.75" customHeight="1">
      <c r="C160" s="328"/>
      <c r="D160" s="289"/>
      <c r="E160" s="289"/>
      <c r="F160" s="289"/>
      <c r="G160" s="289"/>
      <c r="H160" s="289"/>
      <c r="I160" s="289"/>
      <c r="J160" s="289"/>
      <c r="K160" s="289"/>
      <c r="L160" s="289"/>
      <c r="M160" s="289"/>
      <c r="N160" s="289"/>
      <c r="O160" s="289"/>
      <c r="P160" s="289"/>
      <c r="Q160" s="289"/>
      <c r="R160" s="289"/>
      <c r="S160" s="289"/>
      <c r="T160" s="289"/>
      <c r="U160" s="289"/>
      <c r="V160" s="289"/>
      <c r="W160" s="289"/>
      <c r="X160" s="289"/>
    </row>
    <row r="161" spans="3:24" ht="15.75" customHeight="1">
      <c r="C161" s="328"/>
      <c r="D161" s="289"/>
      <c r="E161" s="289"/>
      <c r="F161" s="289"/>
      <c r="G161" s="289"/>
      <c r="H161" s="289"/>
      <c r="I161" s="289"/>
      <c r="J161" s="289"/>
      <c r="K161" s="289"/>
      <c r="L161" s="289"/>
      <c r="M161" s="289"/>
      <c r="N161" s="289"/>
      <c r="O161" s="289"/>
      <c r="P161" s="289"/>
      <c r="Q161" s="289"/>
      <c r="R161" s="289"/>
      <c r="S161" s="289"/>
      <c r="T161" s="289"/>
      <c r="U161" s="289"/>
      <c r="V161" s="289"/>
      <c r="W161" s="289"/>
      <c r="X161" s="289"/>
    </row>
    <row r="162" spans="3:24" ht="15.75" customHeight="1">
      <c r="C162" s="328"/>
      <c r="D162" s="289"/>
      <c r="E162" s="289"/>
      <c r="F162" s="289"/>
      <c r="G162" s="289"/>
      <c r="H162" s="289"/>
      <c r="I162" s="289"/>
      <c r="J162" s="289"/>
      <c r="K162" s="289"/>
      <c r="L162" s="289"/>
      <c r="M162" s="289"/>
      <c r="N162" s="289"/>
      <c r="O162" s="289"/>
      <c r="P162" s="289"/>
      <c r="Q162" s="289"/>
      <c r="R162" s="289"/>
      <c r="S162" s="289"/>
      <c r="T162" s="289"/>
      <c r="U162" s="289"/>
      <c r="V162" s="289"/>
      <c r="W162" s="289"/>
      <c r="X162" s="289"/>
    </row>
    <row r="163" spans="3:24" ht="15.75" customHeight="1">
      <c r="C163" s="328"/>
      <c r="D163" s="289"/>
      <c r="E163" s="289"/>
      <c r="F163" s="289"/>
      <c r="G163" s="289"/>
      <c r="H163" s="289"/>
      <c r="I163" s="289"/>
      <c r="J163" s="289"/>
      <c r="K163" s="289"/>
      <c r="L163" s="289"/>
      <c r="M163" s="289"/>
      <c r="N163" s="289"/>
      <c r="O163" s="289"/>
      <c r="P163" s="289"/>
      <c r="Q163" s="289"/>
      <c r="R163" s="289"/>
      <c r="S163" s="289"/>
      <c r="T163" s="289"/>
      <c r="U163" s="289"/>
      <c r="V163" s="289"/>
      <c r="W163" s="289"/>
      <c r="X163" s="289"/>
    </row>
    <row r="164" spans="3:24" ht="15.75" customHeight="1">
      <c r="C164" s="328"/>
      <c r="D164" s="289"/>
      <c r="E164" s="289"/>
      <c r="F164" s="289"/>
      <c r="G164" s="289"/>
      <c r="H164" s="289"/>
      <c r="I164" s="289"/>
      <c r="J164" s="289"/>
      <c r="K164" s="289"/>
      <c r="L164" s="289"/>
      <c r="M164" s="289"/>
      <c r="N164" s="289"/>
      <c r="O164" s="289"/>
      <c r="P164" s="289"/>
      <c r="Q164" s="289"/>
      <c r="R164" s="289"/>
      <c r="S164" s="289"/>
      <c r="T164" s="289"/>
      <c r="U164" s="289"/>
      <c r="V164" s="289"/>
      <c r="W164" s="289"/>
      <c r="X164" s="289"/>
    </row>
    <row r="165" spans="3:24" ht="15.75" customHeight="1">
      <c r="C165" s="328"/>
      <c r="D165" s="289"/>
      <c r="E165" s="289"/>
      <c r="F165" s="289"/>
      <c r="G165" s="289"/>
      <c r="H165" s="289"/>
      <c r="I165" s="289"/>
      <c r="J165" s="289"/>
      <c r="K165" s="289"/>
      <c r="L165" s="289"/>
      <c r="M165" s="289"/>
      <c r="N165" s="289"/>
      <c r="O165" s="289"/>
      <c r="P165" s="289"/>
      <c r="Q165" s="289"/>
      <c r="R165" s="289"/>
      <c r="S165" s="289"/>
      <c r="T165" s="289"/>
      <c r="U165" s="289"/>
      <c r="V165" s="289"/>
      <c r="W165" s="289"/>
      <c r="X165" s="289"/>
    </row>
    <row r="166" spans="3:24" ht="15.75" customHeight="1">
      <c r="C166" s="328"/>
      <c r="D166" s="289"/>
      <c r="E166" s="289"/>
      <c r="F166" s="289"/>
      <c r="G166" s="289"/>
      <c r="H166" s="289"/>
      <c r="I166" s="289"/>
      <c r="J166" s="289"/>
      <c r="K166" s="289"/>
      <c r="L166" s="289"/>
      <c r="M166" s="289"/>
      <c r="N166" s="289"/>
      <c r="O166" s="289"/>
      <c r="P166" s="289"/>
      <c r="Q166" s="289"/>
      <c r="R166" s="289"/>
      <c r="S166" s="289"/>
      <c r="T166" s="289"/>
      <c r="U166" s="289"/>
      <c r="V166" s="289"/>
      <c r="W166" s="289"/>
      <c r="X166" s="289"/>
    </row>
    <row r="167" spans="3:24" ht="15.75" customHeight="1">
      <c r="C167" s="328"/>
      <c r="D167" s="289"/>
      <c r="E167" s="289"/>
      <c r="F167" s="289"/>
      <c r="G167" s="289"/>
      <c r="H167" s="289"/>
      <c r="I167" s="289"/>
      <c r="J167" s="289"/>
      <c r="K167" s="289"/>
      <c r="L167" s="289"/>
      <c r="M167" s="289"/>
      <c r="N167" s="289"/>
      <c r="O167" s="289"/>
      <c r="P167" s="289"/>
      <c r="Q167" s="289"/>
      <c r="R167" s="289"/>
      <c r="S167" s="289"/>
      <c r="T167" s="289"/>
      <c r="U167" s="289"/>
      <c r="V167" s="289"/>
      <c r="W167" s="289"/>
      <c r="X167" s="289"/>
    </row>
    <row r="168" spans="3:24" ht="15.75" customHeight="1">
      <c r="C168" s="328"/>
      <c r="D168" s="289"/>
      <c r="E168" s="289"/>
      <c r="F168" s="289"/>
      <c r="G168" s="289"/>
      <c r="H168" s="289"/>
      <c r="I168" s="289"/>
      <c r="J168" s="289"/>
      <c r="K168" s="289"/>
      <c r="L168" s="289"/>
      <c r="M168" s="289"/>
      <c r="N168" s="289"/>
      <c r="O168" s="289"/>
      <c r="P168" s="289"/>
      <c r="Q168" s="289"/>
      <c r="R168" s="289"/>
      <c r="S168" s="289"/>
      <c r="T168" s="289"/>
      <c r="U168" s="289"/>
      <c r="V168" s="289"/>
      <c r="W168" s="289"/>
      <c r="X168" s="289"/>
    </row>
    <row r="169" spans="3:24" ht="15.75" customHeight="1">
      <c r="C169" s="328"/>
      <c r="D169" s="289"/>
      <c r="E169" s="289"/>
      <c r="F169" s="289"/>
      <c r="G169" s="289"/>
      <c r="H169" s="289"/>
      <c r="I169" s="289"/>
      <c r="J169" s="289"/>
      <c r="K169" s="289"/>
      <c r="L169" s="289"/>
      <c r="M169" s="289"/>
      <c r="N169" s="289"/>
      <c r="O169" s="289"/>
      <c r="P169" s="289"/>
      <c r="Q169" s="289"/>
      <c r="R169" s="289"/>
      <c r="S169" s="289"/>
      <c r="T169" s="289"/>
      <c r="U169" s="289"/>
      <c r="V169" s="289"/>
      <c r="W169" s="289"/>
      <c r="X169" s="289"/>
    </row>
    <row r="170" spans="3:24" ht="15.75" customHeight="1">
      <c r="C170" s="328"/>
      <c r="D170" s="289"/>
      <c r="E170" s="289"/>
      <c r="F170" s="289"/>
      <c r="G170" s="289"/>
      <c r="H170" s="289"/>
      <c r="I170" s="289"/>
      <c r="J170" s="289"/>
      <c r="K170" s="289"/>
      <c r="L170" s="289"/>
      <c r="M170" s="289"/>
      <c r="N170" s="289"/>
      <c r="O170" s="289"/>
      <c r="P170" s="289"/>
      <c r="Q170" s="289"/>
      <c r="R170" s="289"/>
      <c r="S170" s="289"/>
      <c r="T170" s="289"/>
      <c r="U170" s="289"/>
      <c r="V170" s="289"/>
      <c r="W170" s="289"/>
      <c r="X170" s="289"/>
    </row>
    <row r="171" spans="3:24" ht="15.75" customHeight="1">
      <c r="C171" s="328"/>
      <c r="D171" s="289"/>
      <c r="E171" s="289"/>
      <c r="F171" s="289"/>
      <c r="G171" s="289"/>
      <c r="H171" s="289"/>
      <c r="I171" s="289"/>
      <c r="J171" s="289"/>
      <c r="K171" s="289"/>
      <c r="L171" s="289"/>
      <c r="M171" s="289"/>
      <c r="N171" s="289"/>
      <c r="O171" s="289"/>
      <c r="P171" s="289"/>
      <c r="Q171" s="289"/>
      <c r="R171" s="289"/>
      <c r="S171" s="289"/>
      <c r="T171" s="289"/>
      <c r="U171" s="289"/>
      <c r="V171" s="289"/>
      <c r="W171" s="289"/>
      <c r="X171" s="289"/>
    </row>
    <row r="172" spans="3:24" ht="15.75" customHeight="1">
      <c r="C172" s="328"/>
      <c r="D172" s="289"/>
      <c r="E172" s="289"/>
      <c r="F172" s="289"/>
      <c r="G172" s="289"/>
      <c r="H172" s="289"/>
      <c r="I172" s="289"/>
      <c r="J172" s="289"/>
      <c r="K172" s="289"/>
      <c r="L172" s="289"/>
      <c r="M172" s="289"/>
      <c r="N172" s="289"/>
      <c r="O172" s="289"/>
      <c r="P172" s="289"/>
      <c r="Q172" s="289"/>
      <c r="R172" s="289"/>
      <c r="S172" s="289"/>
      <c r="T172" s="289"/>
      <c r="U172" s="289"/>
      <c r="V172" s="289"/>
      <c r="W172" s="289"/>
      <c r="X172" s="289"/>
    </row>
    <row r="173" spans="3:24" ht="15.75" customHeight="1">
      <c r="C173" s="328"/>
      <c r="D173" s="289"/>
      <c r="E173" s="289"/>
      <c r="F173" s="289"/>
      <c r="G173" s="289"/>
      <c r="H173" s="289"/>
      <c r="I173" s="289"/>
      <c r="J173" s="289"/>
      <c r="K173" s="289"/>
      <c r="L173" s="289"/>
      <c r="M173" s="289"/>
      <c r="N173" s="289"/>
      <c r="O173" s="289"/>
      <c r="P173" s="289"/>
      <c r="Q173" s="289"/>
      <c r="R173" s="289"/>
      <c r="S173" s="289"/>
      <c r="T173" s="289"/>
      <c r="U173" s="289"/>
      <c r="V173" s="289"/>
      <c r="W173" s="289"/>
      <c r="X173" s="289"/>
    </row>
    <row r="174" spans="3:24" ht="15.75" customHeight="1">
      <c r="C174" s="328"/>
      <c r="D174" s="289"/>
      <c r="E174" s="289"/>
      <c r="F174" s="289"/>
      <c r="G174" s="289"/>
      <c r="H174" s="289"/>
      <c r="I174" s="289"/>
      <c r="J174" s="289"/>
      <c r="K174" s="289"/>
      <c r="L174" s="289"/>
      <c r="M174" s="289"/>
      <c r="N174" s="289"/>
      <c r="O174" s="289"/>
      <c r="P174" s="289"/>
      <c r="Q174" s="289"/>
      <c r="R174" s="289"/>
      <c r="S174" s="289"/>
      <c r="T174" s="289"/>
      <c r="U174" s="289"/>
      <c r="V174" s="289"/>
      <c r="W174" s="289"/>
      <c r="X174" s="289"/>
    </row>
    <row r="175" spans="3:24" ht="15.75" customHeight="1">
      <c r="C175" s="328"/>
      <c r="D175" s="289"/>
      <c r="E175" s="289"/>
      <c r="F175" s="289"/>
      <c r="G175" s="289"/>
      <c r="H175" s="289"/>
      <c r="I175" s="289"/>
      <c r="J175" s="289"/>
      <c r="K175" s="289"/>
      <c r="L175" s="289"/>
      <c r="M175" s="289"/>
      <c r="N175" s="289"/>
      <c r="O175" s="289"/>
      <c r="P175" s="289"/>
      <c r="Q175" s="289"/>
      <c r="R175" s="289"/>
      <c r="S175" s="289"/>
      <c r="T175" s="289"/>
      <c r="U175" s="289"/>
      <c r="V175" s="289"/>
      <c r="W175" s="289"/>
      <c r="X175" s="289"/>
    </row>
    <row r="176" spans="3:24" ht="15.75" customHeight="1">
      <c r="C176" s="328"/>
      <c r="D176" s="289"/>
      <c r="E176" s="289"/>
      <c r="F176" s="289"/>
      <c r="G176" s="289"/>
      <c r="H176" s="289"/>
      <c r="I176" s="289"/>
      <c r="J176" s="289"/>
      <c r="K176" s="289"/>
      <c r="L176" s="289"/>
      <c r="M176" s="289"/>
      <c r="N176" s="289"/>
      <c r="O176" s="289"/>
      <c r="P176" s="289"/>
      <c r="Q176" s="289"/>
      <c r="R176" s="289"/>
      <c r="S176" s="289"/>
      <c r="T176" s="289"/>
      <c r="U176" s="289"/>
      <c r="V176" s="289"/>
      <c r="W176" s="289"/>
      <c r="X176" s="289"/>
    </row>
    <row r="177" spans="3:24" ht="15.75" customHeight="1">
      <c r="C177" s="328"/>
      <c r="D177" s="289"/>
      <c r="E177" s="289"/>
      <c r="F177" s="289"/>
      <c r="G177" s="289"/>
      <c r="H177" s="289"/>
      <c r="I177" s="289"/>
      <c r="J177" s="289"/>
      <c r="K177" s="289"/>
      <c r="L177" s="289"/>
      <c r="M177" s="289"/>
      <c r="N177" s="289"/>
      <c r="O177" s="289"/>
      <c r="P177" s="289"/>
      <c r="Q177" s="289"/>
      <c r="R177" s="289"/>
      <c r="S177" s="289"/>
      <c r="T177" s="289"/>
      <c r="U177" s="289"/>
      <c r="V177" s="289"/>
      <c r="W177" s="289"/>
      <c r="X177" s="289"/>
    </row>
    <row r="178" spans="3:24" ht="15.75" customHeight="1">
      <c r="C178" s="328"/>
      <c r="D178" s="289"/>
      <c r="E178" s="289"/>
      <c r="F178" s="289"/>
      <c r="G178" s="289"/>
      <c r="H178" s="289"/>
      <c r="I178" s="289"/>
      <c r="J178" s="289"/>
      <c r="K178" s="289"/>
      <c r="L178" s="289"/>
      <c r="M178" s="289"/>
      <c r="N178" s="289"/>
      <c r="O178" s="289"/>
      <c r="P178" s="289"/>
      <c r="Q178" s="289"/>
      <c r="R178" s="289"/>
      <c r="S178" s="289"/>
      <c r="T178" s="289"/>
      <c r="U178" s="289"/>
      <c r="V178" s="289"/>
      <c r="W178" s="289"/>
      <c r="X178" s="289"/>
    </row>
    <row r="179" spans="3:24" ht="15.75" customHeight="1">
      <c r="C179" s="328"/>
      <c r="D179" s="289"/>
      <c r="E179" s="289"/>
      <c r="F179" s="289"/>
      <c r="G179" s="289"/>
      <c r="H179" s="289"/>
      <c r="I179" s="289"/>
      <c r="J179" s="289"/>
      <c r="K179" s="289"/>
      <c r="L179" s="289"/>
      <c r="M179" s="289"/>
      <c r="N179" s="289"/>
      <c r="O179" s="289"/>
      <c r="P179" s="289"/>
      <c r="Q179" s="289"/>
      <c r="R179" s="289"/>
      <c r="S179" s="289"/>
      <c r="T179" s="289"/>
      <c r="U179" s="289"/>
      <c r="V179" s="289"/>
      <c r="W179" s="289"/>
      <c r="X179" s="289"/>
    </row>
    <row r="180" spans="3:24" ht="15.75" customHeight="1">
      <c r="C180" s="328"/>
      <c r="D180" s="289"/>
      <c r="E180" s="289"/>
      <c r="F180" s="289"/>
      <c r="G180" s="289"/>
      <c r="H180" s="289"/>
      <c r="I180" s="289"/>
      <c r="J180" s="289"/>
      <c r="K180" s="289"/>
      <c r="L180" s="289"/>
      <c r="M180" s="289"/>
      <c r="N180" s="289"/>
      <c r="O180" s="289"/>
      <c r="P180" s="289"/>
      <c r="Q180" s="289"/>
      <c r="R180" s="289"/>
      <c r="S180" s="289"/>
      <c r="T180" s="289"/>
      <c r="U180" s="289"/>
      <c r="V180" s="289"/>
      <c r="W180" s="289"/>
      <c r="X180" s="289"/>
    </row>
    <row r="181" spans="3:24" ht="15.75" customHeight="1">
      <c r="C181" s="328"/>
      <c r="D181" s="289"/>
      <c r="E181" s="289"/>
      <c r="F181" s="289"/>
      <c r="G181" s="289"/>
      <c r="H181" s="289"/>
      <c r="I181" s="289"/>
      <c r="J181" s="289"/>
      <c r="K181" s="289"/>
      <c r="L181" s="289"/>
      <c r="M181" s="289"/>
      <c r="N181" s="289"/>
      <c r="O181" s="289"/>
      <c r="P181" s="289"/>
      <c r="Q181" s="289"/>
      <c r="R181" s="289"/>
      <c r="S181" s="289"/>
      <c r="T181" s="289"/>
      <c r="U181" s="289"/>
      <c r="V181" s="289"/>
      <c r="W181" s="289"/>
      <c r="X181" s="289"/>
    </row>
    <row r="182" spans="3:24" ht="15.75" customHeight="1">
      <c r="C182" s="328"/>
      <c r="D182" s="289"/>
      <c r="E182" s="289"/>
      <c r="F182" s="289"/>
      <c r="G182" s="289"/>
      <c r="H182" s="289"/>
      <c r="I182" s="289"/>
      <c r="J182" s="289"/>
      <c r="K182" s="289"/>
      <c r="L182" s="289"/>
      <c r="M182" s="289"/>
      <c r="N182" s="289"/>
      <c r="O182" s="289"/>
      <c r="P182" s="289"/>
      <c r="Q182" s="289"/>
      <c r="R182" s="289"/>
      <c r="S182" s="289"/>
      <c r="T182" s="289"/>
      <c r="U182" s="289"/>
      <c r="V182" s="289"/>
      <c r="W182" s="289"/>
      <c r="X182" s="289"/>
    </row>
    <row r="183" spans="3:24" ht="15.75" customHeight="1">
      <c r="C183" s="328"/>
      <c r="D183" s="289"/>
      <c r="E183" s="289"/>
      <c r="F183" s="289"/>
      <c r="G183" s="289"/>
      <c r="H183" s="289"/>
      <c r="I183" s="289"/>
      <c r="J183" s="289"/>
      <c r="K183" s="289"/>
      <c r="L183" s="289"/>
      <c r="M183" s="289"/>
      <c r="N183" s="289"/>
      <c r="O183" s="289"/>
      <c r="P183" s="289"/>
      <c r="Q183" s="289"/>
      <c r="R183" s="289"/>
      <c r="S183" s="289"/>
      <c r="T183" s="289"/>
      <c r="U183" s="289"/>
      <c r="V183" s="289"/>
      <c r="W183" s="289"/>
      <c r="X183" s="289"/>
    </row>
    <row r="184" spans="3:24" ht="15.75" customHeight="1">
      <c r="C184" s="328"/>
      <c r="D184" s="289"/>
      <c r="E184" s="289"/>
      <c r="F184" s="289"/>
      <c r="G184" s="289"/>
      <c r="H184" s="289"/>
      <c r="I184" s="289"/>
      <c r="J184" s="289"/>
      <c r="K184" s="289"/>
      <c r="L184" s="289"/>
      <c r="M184" s="289"/>
      <c r="N184" s="289"/>
      <c r="O184" s="289"/>
      <c r="P184" s="289"/>
      <c r="Q184" s="289"/>
      <c r="R184" s="289"/>
      <c r="S184" s="289"/>
      <c r="T184" s="289"/>
      <c r="U184" s="289"/>
      <c r="V184" s="289"/>
      <c r="W184" s="289"/>
      <c r="X184" s="289"/>
    </row>
    <row r="185" spans="3:24" ht="15.75" customHeight="1">
      <c r="C185" s="328"/>
      <c r="D185" s="289"/>
      <c r="E185" s="289"/>
      <c r="F185" s="289"/>
      <c r="G185" s="289"/>
      <c r="H185" s="289"/>
      <c r="I185" s="289"/>
      <c r="J185" s="289"/>
      <c r="K185" s="289"/>
      <c r="L185" s="289"/>
      <c r="M185" s="289"/>
      <c r="N185" s="289"/>
      <c r="O185" s="289"/>
      <c r="P185" s="289"/>
      <c r="Q185" s="289"/>
      <c r="R185" s="289"/>
      <c r="S185" s="289"/>
      <c r="T185" s="289"/>
      <c r="U185" s="289"/>
      <c r="V185" s="289"/>
      <c r="W185" s="289"/>
      <c r="X185" s="289"/>
    </row>
    <row r="186" spans="3:24" ht="15.75" customHeight="1">
      <c r="C186" s="328"/>
      <c r="D186" s="289"/>
      <c r="E186" s="289"/>
      <c r="F186" s="289"/>
      <c r="G186" s="289"/>
      <c r="H186" s="289"/>
      <c r="I186" s="289"/>
      <c r="J186" s="289"/>
      <c r="K186" s="289"/>
      <c r="L186" s="289"/>
      <c r="M186" s="289"/>
      <c r="N186" s="289"/>
      <c r="O186" s="289"/>
      <c r="P186" s="289"/>
      <c r="Q186" s="289"/>
      <c r="R186" s="289"/>
      <c r="S186" s="289"/>
      <c r="T186" s="289"/>
      <c r="U186" s="289"/>
      <c r="V186" s="289"/>
      <c r="W186" s="289"/>
      <c r="X186" s="289"/>
    </row>
    <row r="187" spans="3:24" ht="15.75" customHeight="1">
      <c r="C187" s="328"/>
      <c r="D187" s="289"/>
      <c r="E187" s="289"/>
      <c r="F187" s="289"/>
      <c r="G187" s="289"/>
      <c r="H187" s="289"/>
      <c r="I187" s="289"/>
      <c r="J187" s="289"/>
      <c r="K187" s="289"/>
      <c r="L187" s="289"/>
      <c r="M187" s="289"/>
      <c r="N187" s="289"/>
      <c r="O187" s="289"/>
      <c r="P187" s="289"/>
      <c r="Q187" s="289"/>
      <c r="R187" s="289"/>
      <c r="S187" s="289"/>
      <c r="T187" s="289"/>
      <c r="U187" s="289"/>
      <c r="V187" s="289"/>
      <c r="W187" s="289"/>
      <c r="X187" s="289"/>
    </row>
    <row r="188" spans="3:24" ht="15.75" customHeight="1">
      <c r="C188" s="328"/>
      <c r="D188" s="289"/>
      <c r="E188" s="289"/>
      <c r="F188" s="289"/>
      <c r="G188" s="289"/>
      <c r="H188" s="289"/>
      <c r="I188" s="289"/>
      <c r="J188" s="289"/>
      <c r="K188" s="289"/>
      <c r="L188" s="289"/>
      <c r="M188" s="289"/>
      <c r="N188" s="289"/>
      <c r="O188" s="289"/>
      <c r="P188" s="289"/>
      <c r="Q188" s="289"/>
      <c r="R188" s="289"/>
      <c r="S188" s="289"/>
      <c r="T188" s="289"/>
      <c r="U188" s="289"/>
      <c r="V188" s="289"/>
      <c r="W188" s="289"/>
      <c r="X188" s="289"/>
    </row>
    <row r="189" spans="3:24" ht="15.75" customHeight="1">
      <c r="C189" s="328"/>
      <c r="D189" s="289"/>
      <c r="E189" s="289"/>
      <c r="F189" s="289"/>
      <c r="G189" s="289"/>
      <c r="H189" s="289"/>
      <c r="I189" s="289"/>
      <c r="J189" s="289"/>
      <c r="K189" s="289"/>
      <c r="L189" s="289"/>
      <c r="M189" s="289"/>
      <c r="N189" s="289"/>
      <c r="O189" s="289"/>
      <c r="P189" s="289"/>
      <c r="Q189" s="289"/>
      <c r="R189" s="289"/>
      <c r="S189" s="289"/>
      <c r="T189" s="289"/>
      <c r="U189" s="289"/>
      <c r="V189" s="289"/>
      <c r="W189" s="289"/>
      <c r="X189" s="289"/>
    </row>
    <row r="190" spans="3:24" ht="15.75" customHeight="1">
      <c r="C190" s="328"/>
      <c r="D190" s="289"/>
      <c r="E190" s="289"/>
      <c r="F190" s="289"/>
      <c r="G190" s="289"/>
      <c r="H190" s="289"/>
      <c r="I190" s="289"/>
      <c r="J190" s="289"/>
      <c r="K190" s="289"/>
      <c r="L190" s="289"/>
      <c r="M190" s="289"/>
      <c r="N190" s="289"/>
      <c r="O190" s="289"/>
      <c r="P190" s="289"/>
      <c r="Q190" s="289"/>
      <c r="R190" s="289"/>
      <c r="S190" s="289"/>
      <c r="T190" s="289"/>
      <c r="U190" s="289"/>
      <c r="V190" s="289"/>
      <c r="W190" s="289"/>
      <c r="X190" s="289"/>
    </row>
    <row r="191" spans="3:24" ht="15.75" customHeight="1">
      <c r="C191" s="328"/>
      <c r="D191" s="289"/>
      <c r="E191" s="289"/>
      <c r="F191" s="289"/>
      <c r="G191" s="289"/>
      <c r="H191" s="289"/>
      <c r="I191" s="289"/>
      <c r="J191" s="289"/>
      <c r="K191" s="289"/>
      <c r="L191" s="289"/>
      <c r="M191" s="289"/>
      <c r="N191" s="289"/>
      <c r="O191" s="289"/>
      <c r="P191" s="289"/>
      <c r="Q191" s="289"/>
      <c r="R191" s="289"/>
      <c r="S191" s="289"/>
      <c r="T191" s="289"/>
      <c r="U191" s="289"/>
      <c r="V191" s="289"/>
      <c r="W191" s="289"/>
      <c r="X191" s="289"/>
    </row>
    <row r="192" spans="3:24" ht="15.75" customHeight="1">
      <c r="C192" s="328"/>
      <c r="D192" s="289"/>
      <c r="E192" s="289"/>
      <c r="F192" s="289"/>
      <c r="G192" s="289"/>
      <c r="H192" s="289"/>
      <c r="I192" s="289"/>
      <c r="J192" s="289"/>
      <c r="K192" s="289"/>
      <c r="L192" s="289"/>
      <c r="M192" s="289"/>
      <c r="N192" s="289"/>
      <c r="O192" s="289"/>
      <c r="P192" s="289"/>
      <c r="Q192" s="289"/>
      <c r="R192" s="289"/>
      <c r="S192" s="289"/>
      <c r="T192" s="289"/>
      <c r="U192" s="289"/>
      <c r="V192" s="289"/>
      <c r="W192" s="289"/>
      <c r="X192" s="289"/>
    </row>
    <row r="193" spans="3:24" ht="15.75" customHeight="1">
      <c r="C193" s="328"/>
      <c r="D193" s="289"/>
      <c r="E193" s="289"/>
      <c r="F193" s="289"/>
      <c r="G193" s="289"/>
      <c r="H193" s="289"/>
      <c r="I193" s="289"/>
      <c r="J193" s="289"/>
      <c r="K193" s="289"/>
      <c r="L193" s="289"/>
      <c r="M193" s="289"/>
      <c r="N193" s="289"/>
      <c r="O193" s="289"/>
      <c r="P193" s="289"/>
      <c r="Q193" s="289"/>
      <c r="R193" s="289"/>
      <c r="S193" s="289"/>
      <c r="T193" s="289"/>
      <c r="U193" s="289"/>
      <c r="V193" s="289"/>
      <c r="W193" s="289"/>
      <c r="X193" s="289"/>
    </row>
    <row r="194" spans="3:24" ht="15.75" customHeight="1">
      <c r="C194" s="328"/>
      <c r="D194" s="289"/>
      <c r="E194" s="289"/>
      <c r="F194" s="289"/>
      <c r="G194" s="289"/>
      <c r="H194" s="289"/>
      <c r="I194" s="289"/>
      <c r="J194" s="289"/>
      <c r="K194" s="289"/>
      <c r="L194" s="289"/>
      <c r="M194" s="289"/>
      <c r="N194" s="289"/>
      <c r="O194" s="289"/>
      <c r="P194" s="289"/>
      <c r="Q194" s="289"/>
      <c r="R194" s="289"/>
      <c r="S194" s="289"/>
      <c r="T194" s="289"/>
      <c r="U194" s="289"/>
      <c r="V194" s="289"/>
      <c r="W194" s="289"/>
      <c r="X194" s="289"/>
    </row>
    <row r="195" spans="3:24" ht="15.75" customHeight="1">
      <c r="C195" s="328"/>
      <c r="D195" s="289"/>
      <c r="E195" s="289"/>
      <c r="F195" s="289"/>
      <c r="G195" s="289"/>
      <c r="H195" s="289"/>
      <c r="I195" s="289"/>
      <c r="J195" s="289"/>
      <c r="K195" s="289"/>
      <c r="L195" s="289"/>
      <c r="M195" s="289"/>
      <c r="N195" s="289"/>
      <c r="O195" s="289"/>
      <c r="P195" s="289"/>
      <c r="Q195" s="289"/>
      <c r="R195" s="289"/>
      <c r="S195" s="289"/>
      <c r="T195" s="289"/>
      <c r="U195" s="289"/>
      <c r="V195" s="289"/>
      <c r="W195" s="289"/>
      <c r="X195" s="289"/>
    </row>
    <row r="196" spans="3:24" ht="15.75" customHeight="1">
      <c r="C196" s="328"/>
      <c r="D196" s="289"/>
      <c r="E196" s="289"/>
      <c r="F196" s="289"/>
      <c r="G196" s="289"/>
      <c r="H196" s="289"/>
      <c r="I196" s="289"/>
      <c r="J196" s="289"/>
      <c r="K196" s="289"/>
      <c r="L196" s="289"/>
      <c r="M196" s="289"/>
      <c r="N196" s="289"/>
      <c r="O196" s="289"/>
      <c r="P196" s="289"/>
      <c r="Q196" s="289"/>
      <c r="R196" s="289"/>
      <c r="S196" s="289"/>
      <c r="T196" s="289"/>
      <c r="U196" s="289"/>
      <c r="V196" s="289"/>
      <c r="W196" s="289"/>
      <c r="X196" s="289"/>
    </row>
    <row r="197" spans="3:24" ht="15.75" customHeight="1">
      <c r="C197" s="328"/>
      <c r="D197" s="289"/>
      <c r="E197" s="289"/>
      <c r="F197" s="289"/>
      <c r="G197" s="289"/>
      <c r="H197" s="289"/>
      <c r="I197" s="289"/>
      <c r="J197" s="289"/>
      <c r="K197" s="289"/>
      <c r="L197" s="289"/>
      <c r="M197" s="289"/>
      <c r="N197" s="289"/>
      <c r="O197" s="289"/>
      <c r="P197" s="289"/>
      <c r="Q197" s="289"/>
      <c r="R197" s="289"/>
      <c r="S197" s="289"/>
      <c r="T197" s="289"/>
      <c r="U197" s="289"/>
      <c r="V197" s="289"/>
      <c r="W197" s="289"/>
      <c r="X197" s="289"/>
    </row>
    <row r="198" spans="3:24" ht="15.75" customHeight="1">
      <c r="C198" s="328"/>
      <c r="D198" s="289"/>
      <c r="E198" s="289"/>
      <c r="F198" s="289"/>
      <c r="G198" s="289"/>
      <c r="H198" s="289"/>
      <c r="I198" s="289"/>
      <c r="J198" s="289"/>
      <c r="K198" s="289"/>
      <c r="L198" s="289"/>
      <c r="M198" s="289"/>
      <c r="N198" s="289"/>
      <c r="O198" s="289"/>
      <c r="P198" s="289"/>
      <c r="Q198" s="289"/>
      <c r="R198" s="289"/>
      <c r="S198" s="289"/>
      <c r="T198" s="289"/>
      <c r="U198" s="289"/>
      <c r="V198" s="289"/>
      <c r="W198" s="289"/>
      <c r="X198" s="289"/>
    </row>
    <row r="199" spans="3:24" ht="15.75" customHeight="1">
      <c r="C199" s="328"/>
      <c r="D199" s="289"/>
      <c r="E199" s="289"/>
      <c r="F199" s="289"/>
      <c r="G199" s="289"/>
      <c r="H199" s="289"/>
      <c r="I199" s="289"/>
      <c r="J199" s="289"/>
      <c r="K199" s="289"/>
      <c r="L199" s="289"/>
      <c r="M199" s="289"/>
      <c r="N199" s="289"/>
      <c r="O199" s="289"/>
      <c r="P199" s="289"/>
      <c r="Q199" s="289"/>
      <c r="R199" s="289"/>
      <c r="S199" s="289"/>
      <c r="T199" s="289"/>
      <c r="U199" s="289"/>
      <c r="V199" s="289"/>
      <c r="W199" s="289"/>
      <c r="X199" s="289"/>
    </row>
    <row r="200" spans="3:24" ht="15.75" customHeight="1">
      <c r="C200" s="328"/>
      <c r="D200" s="289"/>
      <c r="E200" s="289"/>
      <c r="F200" s="289"/>
      <c r="G200" s="289"/>
      <c r="H200" s="289"/>
      <c r="I200" s="289"/>
      <c r="J200" s="289"/>
      <c r="K200" s="289"/>
      <c r="L200" s="289"/>
      <c r="M200" s="289"/>
      <c r="N200" s="289"/>
      <c r="O200" s="289"/>
      <c r="P200" s="289"/>
      <c r="Q200" s="289"/>
      <c r="R200" s="289"/>
      <c r="S200" s="289"/>
      <c r="T200" s="289"/>
      <c r="U200" s="289"/>
      <c r="V200" s="289"/>
      <c r="W200" s="289"/>
      <c r="X200" s="289"/>
    </row>
    <row r="201" spans="3:24" ht="15.75" customHeight="1">
      <c r="C201" s="328"/>
      <c r="D201" s="289"/>
      <c r="E201" s="289"/>
      <c r="F201" s="289"/>
      <c r="G201" s="289"/>
      <c r="H201" s="289"/>
      <c r="I201" s="289"/>
      <c r="J201" s="289"/>
      <c r="K201" s="289"/>
      <c r="L201" s="289"/>
      <c r="M201" s="289"/>
      <c r="N201" s="289"/>
      <c r="O201" s="289"/>
      <c r="P201" s="289"/>
      <c r="Q201" s="289"/>
      <c r="R201" s="289"/>
      <c r="S201" s="289"/>
      <c r="T201" s="289"/>
      <c r="U201" s="289"/>
      <c r="V201" s="289"/>
      <c r="W201" s="289"/>
      <c r="X201" s="289"/>
    </row>
    <row r="202" spans="3:24" ht="15.75" customHeight="1">
      <c r="C202" s="328"/>
      <c r="D202" s="289"/>
      <c r="E202" s="289"/>
      <c r="F202" s="289"/>
      <c r="G202" s="289"/>
      <c r="H202" s="289"/>
      <c r="I202" s="289"/>
      <c r="J202" s="289"/>
      <c r="K202" s="289"/>
      <c r="L202" s="289"/>
      <c r="M202" s="289"/>
      <c r="N202" s="289"/>
      <c r="O202" s="289"/>
      <c r="P202" s="289"/>
      <c r="Q202" s="289"/>
      <c r="R202" s="289"/>
      <c r="S202" s="289"/>
      <c r="T202" s="289"/>
      <c r="U202" s="289"/>
      <c r="V202" s="289"/>
      <c r="W202" s="289"/>
      <c r="X202" s="289"/>
    </row>
    <row r="203" spans="3:24" ht="15.75" customHeight="1">
      <c r="C203" s="328"/>
      <c r="D203" s="289"/>
      <c r="E203" s="289"/>
      <c r="F203" s="289"/>
      <c r="G203" s="289"/>
      <c r="H203" s="289"/>
      <c r="I203" s="289"/>
      <c r="J203" s="289"/>
      <c r="K203" s="289"/>
      <c r="L203" s="289"/>
      <c r="M203" s="289"/>
      <c r="N203" s="289"/>
      <c r="O203" s="289"/>
      <c r="P203" s="289"/>
      <c r="Q203" s="289"/>
      <c r="R203" s="289"/>
      <c r="S203" s="289"/>
      <c r="T203" s="289"/>
      <c r="U203" s="289"/>
      <c r="V203" s="289"/>
      <c r="W203" s="289"/>
      <c r="X203" s="289"/>
    </row>
    <row r="204" spans="3:24" ht="15.75" customHeight="1">
      <c r="C204" s="328"/>
      <c r="D204" s="289"/>
      <c r="E204" s="289"/>
      <c r="F204" s="289"/>
      <c r="G204" s="289"/>
      <c r="H204" s="289"/>
      <c r="I204" s="289"/>
      <c r="J204" s="289"/>
      <c r="K204" s="289"/>
      <c r="L204" s="289"/>
      <c r="M204" s="289"/>
      <c r="N204" s="289"/>
      <c r="O204" s="289"/>
      <c r="P204" s="289"/>
      <c r="Q204" s="289"/>
      <c r="R204" s="289"/>
      <c r="S204" s="289"/>
      <c r="T204" s="289"/>
      <c r="U204" s="289"/>
      <c r="V204" s="289"/>
      <c r="W204" s="289"/>
      <c r="X204" s="289"/>
    </row>
    <row r="205" spans="3:24" ht="15.75" customHeight="1">
      <c r="C205" s="328"/>
      <c r="D205" s="289"/>
      <c r="E205" s="289"/>
      <c r="F205" s="289"/>
      <c r="G205" s="289"/>
      <c r="H205" s="289"/>
      <c r="I205" s="289"/>
      <c r="J205" s="289"/>
      <c r="K205" s="289"/>
      <c r="L205" s="289"/>
      <c r="M205" s="289"/>
      <c r="N205" s="289"/>
      <c r="O205" s="289"/>
      <c r="P205" s="289"/>
      <c r="Q205" s="289"/>
      <c r="R205" s="289"/>
      <c r="S205" s="289"/>
      <c r="T205" s="289"/>
      <c r="U205" s="289"/>
      <c r="V205" s="289"/>
      <c r="W205" s="289"/>
      <c r="X205" s="289"/>
    </row>
    <row r="206" spans="3:24" ht="15.75" customHeight="1">
      <c r="C206" s="328"/>
      <c r="D206" s="289"/>
      <c r="E206" s="289"/>
      <c r="F206" s="289"/>
      <c r="G206" s="289"/>
      <c r="H206" s="289"/>
      <c r="I206" s="289"/>
      <c r="J206" s="289"/>
      <c r="K206" s="289"/>
      <c r="L206" s="289"/>
      <c r="M206" s="289"/>
      <c r="N206" s="289"/>
      <c r="O206" s="289"/>
      <c r="P206" s="289"/>
      <c r="Q206" s="289"/>
      <c r="R206" s="289"/>
      <c r="S206" s="289"/>
      <c r="T206" s="289"/>
      <c r="U206" s="289"/>
      <c r="V206" s="289"/>
      <c r="W206" s="289"/>
      <c r="X206" s="289"/>
    </row>
    <row r="207" spans="3:24" ht="15.75" customHeight="1">
      <c r="C207" s="328"/>
      <c r="D207" s="289"/>
      <c r="E207" s="289"/>
      <c r="F207" s="289"/>
      <c r="G207" s="289"/>
      <c r="H207" s="289"/>
      <c r="I207" s="289"/>
      <c r="J207" s="289"/>
      <c r="K207" s="289"/>
      <c r="L207" s="289"/>
      <c r="M207" s="289"/>
      <c r="N207" s="289"/>
      <c r="O207" s="289"/>
      <c r="P207" s="289"/>
      <c r="Q207" s="289"/>
      <c r="R207" s="289"/>
      <c r="S207" s="289"/>
      <c r="T207" s="289"/>
      <c r="U207" s="289"/>
      <c r="V207" s="289"/>
      <c r="W207" s="289"/>
      <c r="X207" s="289"/>
    </row>
    <row r="208" spans="3:24" ht="15.75" customHeight="1">
      <c r="C208" s="328"/>
      <c r="D208" s="289"/>
      <c r="E208" s="289"/>
      <c r="F208" s="289"/>
      <c r="G208" s="289"/>
      <c r="H208" s="289"/>
      <c r="I208" s="289"/>
      <c r="J208" s="289"/>
      <c r="K208" s="289"/>
      <c r="L208" s="289"/>
      <c r="M208" s="289"/>
      <c r="N208" s="289"/>
      <c r="O208" s="289"/>
      <c r="P208" s="289"/>
      <c r="Q208" s="289"/>
      <c r="R208" s="289"/>
      <c r="S208" s="289"/>
      <c r="T208" s="289"/>
      <c r="U208" s="289"/>
      <c r="V208" s="289"/>
      <c r="W208" s="289"/>
      <c r="X208" s="289"/>
    </row>
    <row r="209" spans="3:24" ht="15.75" customHeight="1">
      <c r="C209" s="328"/>
      <c r="D209" s="289"/>
      <c r="E209" s="289"/>
      <c r="F209" s="289"/>
      <c r="G209" s="289"/>
      <c r="H209" s="289"/>
      <c r="I209" s="289"/>
      <c r="J209" s="289"/>
      <c r="K209" s="289"/>
      <c r="L209" s="289"/>
      <c r="M209" s="289"/>
      <c r="N209" s="289"/>
      <c r="O209" s="289"/>
      <c r="P209" s="289"/>
      <c r="Q209" s="289"/>
      <c r="R209" s="289"/>
      <c r="S209" s="289"/>
      <c r="T209" s="289"/>
      <c r="U209" s="289"/>
      <c r="V209" s="289"/>
      <c r="W209" s="289"/>
      <c r="X209" s="289"/>
    </row>
    <row r="210" spans="3:24" ht="15.75" customHeight="1">
      <c r="C210" s="328"/>
      <c r="D210" s="289"/>
      <c r="E210" s="289"/>
      <c r="F210" s="289"/>
      <c r="G210" s="289"/>
      <c r="H210" s="289"/>
      <c r="I210" s="289"/>
      <c r="J210" s="289"/>
      <c r="K210" s="289"/>
      <c r="L210" s="289"/>
      <c r="M210" s="289"/>
      <c r="N210" s="289"/>
      <c r="O210" s="289"/>
      <c r="P210" s="289"/>
      <c r="Q210" s="289"/>
      <c r="R210" s="289"/>
      <c r="S210" s="289"/>
      <c r="T210" s="289"/>
      <c r="U210" s="289"/>
      <c r="V210" s="289"/>
      <c r="W210" s="289"/>
      <c r="X210" s="289"/>
    </row>
    <row r="211" spans="3:24" ht="15.75" customHeight="1">
      <c r="C211" s="328"/>
      <c r="D211" s="289"/>
      <c r="E211" s="289"/>
      <c r="F211" s="289"/>
      <c r="G211" s="289"/>
      <c r="H211" s="289"/>
      <c r="I211" s="289"/>
      <c r="J211" s="289"/>
      <c r="K211" s="289"/>
      <c r="L211" s="289"/>
      <c r="M211" s="289"/>
      <c r="N211" s="289"/>
      <c r="O211" s="289"/>
      <c r="P211" s="289"/>
      <c r="Q211" s="289"/>
      <c r="R211" s="289"/>
      <c r="S211" s="289"/>
      <c r="T211" s="289"/>
      <c r="U211" s="289"/>
      <c r="V211" s="289"/>
      <c r="W211" s="289"/>
      <c r="X211" s="289"/>
    </row>
    <row r="212" spans="3:24" ht="15.75" customHeight="1">
      <c r="C212" s="328"/>
      <c r="D212" s="289"/>
      <c r="E212" s="289"/>
      <c r="F212" s="289"/>
      <c r="G212" s="289"/>
      <c r="H212" s="289"/>
      <c r="I212" s="289"/>
      <c r="J212" s="289"/>
      <c r="K212" s="289"/>
      <c r="L212" s="289"/>
      <c r="M212" s="289"/>
      <c r="N212" s="289"/>
      <c r="O212" s="289"/>
      <c r="P212" s="289"/>
      <c r="Q212" s="289"/>
      <c r="R212" s="289"/>
      <c r="S212" s="289"/>
      <c r="T212" s="289"/>
      <c r="U212" s="289"/>
      <c r="V212" s="289"/>
      <c r="W212" s="289"/>
      <c r="X212" s="289"/>
    </row>
    <row r="213" spans="3:24" ht="15.75" customHeight="1">
      <c r="C213" s="328"/>
      <c r="D213" s="289"/>
      <c r="E213" s="289"/>
      <c r="F213" s="289"/>
      <c r="G213" s="289"/>
      <c r="H213" s="289"/>
      <c r="I213" s="289"/>
      <c r="J213" s="289"/>
      <c r="K213" s="289"/>
      <c r="L213" s="289"/>
      <c r="M213" s="289"/>
      <c r="N213" s="289"/>
      <c r="O213" s="289"/>
      <c r="P213" s="289"/>
      <c r="Q213" s="289"/>
      <c r="R213" s="289"/>
      <c r="S213" s="289"/>
      <c r="T213" s="289"/>
      <c r="U213" s="289"/>
      <c r="V213" s="289"/>
      <c r="W213" s="289"/>
      <c r="X213" s="289"/>
    </row>
    <row r="214" spans="3:24" ht="15.75" customHeight="1">
      <c r="C214" s="328"/>
      <c r="D214" s="289"/>
      <c r="E214" s="289"/>
      <c r="F214" s="289"/>
      <c r="G214" s="289"/>
      <c r="H214" s="289"/>
      <c r="I214" s="289"/>
      <c r="J214" s="289"/>
      <c r="K214" s="289"/>
      <c r="L214" s="289"/>
      <c r="M214" s="289"/>
      <c r="N214" s="289"/>
      <c r="O214" s="289"/>
      <c r="P214" s="289"/>
      <c r="Q214" s="289"/>
      <c r="R214" s="289"/>
      <c r="S214" s="289"/>
      <c r="T214" s="289"/>
      <c r="U214" s="289"/>
      <c r="V214" s="289"/>
      <c r="W214" s="289"/>
      <c r="X214" s="289"/>
    </row>
    <row r="215" spans="3:24" ht="15.75" customHeight="1">
      <c r="C215" s="328"/>
      <c r="D215" s="289"/>
      <c r="E215" s="289"/>
      <c r="F215" s="289"/>
      <c r="G215" s="289"/>
      <c r="H215" s="289"/>
      <c r="I215" s="289"/>
      <c r="J215" s="289"/>
      <c r="K215" s="289"/>
      <c r="L215" s="289"/>
      <c r="M215" s="289"/>
      <c r="N215" s="289"/>
      <c r="O215" s="289"/>
      <c r="P215" s="289"/>
      <c r="Q215" s="289"/>
      <c r="R215" s="289"/>
      <c r="S215" s="289"/>
      <c r="T215" s="289"/>
      <c r="U215" s="289"/>
      <c r="V215" s="289"/>
      <c r="W215" s="289"/>
      <c r="X215" s="289"/>
    </row>
    <row r="216" spans="3:24" ht="15.75" customHeight="1">
      <c r="C216" s="328"/>
      <c r="D216" s="289"/>
      <c r="E216" s="289"/>
      <c r="F216" s="289"/>
      <c r="G216" s="289"/>
      <c r="H216" s="289"/>
      <c r="I216" s="289"/>
      <c r="J216" s="289"/>
      <c r="K216" s="289"/>
      <c r="L216" s="289"/>
      <c r="M216" s="289"/>
      <c r="N216" s="289"/>
      <c r="O216" s="289"/>
      <c r="P216" s="289"/>
      <c r="Q216" s="289"/>
      <c r="R216" s="289"/>
      <c r="S216" s="289"/>
      <c r="T216" s="289"/>
      <c r="U216" s="289"/>
      <c r="V216" s="289"/>
      <c r="W216" s="289"/>
      <c r="X216" s="289"/>
    </row>
    <row r="217" spans="3:24" ht="15.75" customHeight="1">
      <c r="C217" s="328"/>
      <c r="D217" s="289"/>
      <c r="E217" s="289"/>
      <c r="F217" s="289"/>
      <c r="G217" s="289"/>
      <c r="H217" s="289"/>
      <c r="I217" s="289"/>
      <c r="J217" s="289"/>
      <c r="K217" s="289"/>
      <c r="L217" s="289"/>
      <c r="M217" s="289"/>
      <c r="N217" s="289"/>
      <c r="O217" s="289"/>
      <c r="P217" s="289"/>
      <c r="Q217" s="289"/>
      <c r="R217" s="289"/>
      <c r="S217" s="289"/>
      <c r="T217" s="289"/>
      <c r="U217" s="289"/>
      <c r="V217" s="289"/>
      <c r="W217" s="289"/>
      <c r="X217" s="289"/>
    </row>
    <row r="218" spans="3:24" ht="15.75" customHeight="1">
      <c r="C218" s="328"/>
      <c r="D218" s="289"/>
      <c r="E218" s="289"/>
      <c r="F218" s="289"/>
      <c r="G218" s="289"/>
      <c r="H218" s="289"/>
      <c r="I218" s="289"/>
      <c r="J218" s="289"/>
      <c r="K218" s="289"/>
      <c r="L218" s="289"/>
      <c r="M218" s="289"/>
      <c r="N218" s="289"/>
      <c r="O218" s="289"/>
      <c r="P218" s="289"/>
      <c r="Q218" s="289"/>
      <c r="R218" s="289"/>
      <c r="S218" s="289"/>
      <c r="T218" s="289"/>
      <c r="U218" s="289"/>
      <c r="V218" s="289"/>
      <c r="W218" s="289"/>
      <c r="X218" s="289"/>
    </row>
    <row r="219" spans="3:24" ht="15.75" customHeight="1"/>
    <row r="220" spans="3:24" ht="15.75" customHeight="1"/>
    <row r="221" spans="3:24" ht="15.75" customHeight="1"/>
    <row r="222" spans="3:24" ht="15.75" customHeight="1"/>
    <row r="223" spans="3:24" ht="15.75" customHeight="1"/>
    <row r="224" spans="3: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FY24 Budget Summary</vt:lpstr>
      <vt:lpstr>Monthly Summary</vt:lpstr>
      <vt:lpstr>Exec Director</vt:lpstr>
      <vt:lpstr>Govern. Board</vt:lpstr>
      <vt:lpstr>School Services</vt:lpstr>
      <vt:lpstr>Central Office</vt:lpstr>
      <vt:lpstr>Aftercare - EC</vt:lpstr>
      <vt:lpstr>Middle Campus</vt:lpstr>
      <vt:lpstr>Aftercare - MC</vt:lpstr>
      <vt:lpstr>Elem Campus</vt:lpstr>
      <vt:lpstr>Diversity</vt:lpstr>
      <vt:lpstr>ESS &amp; Student Support</vt:lpstr>
      <vt:lpstr>Security</vt:lpstr>
      <vt:lpstr>Mar Comm</vt:lpstr>
      <vt:lpstr>Gather &amp; Grow</vt:lpstr>
      <vt:lpstr>Nutrition Program</vt:lpstr>
      <vt:lpstr>EC Facilities</vt:lpstr>
      <vt:lpstr> MC Facilities</vt:lpstr>
      <vt:lpstr>Farm</vt:lpstr>
      <vt:lpstr>Information Tech</vt:lpstr>
      <vt:lpstr>Athletics</vt:lpstr>
      <vt:lpstr>MACAL</vt:lpstr>
      <vt:lpstr>PTCA</vt:lpstr>
      <vt:lpstr>Media Center - EC</vt:lpstr>
      <vt:lpstr>Media Center - MC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Brimmell, Irina</cp:lastModifiedBy>
  <dcterms:modified xsi:type="dcterms:W3CDTF">2024-03-08T20:15:22Z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