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eltaairlines-my.sharepoint.com/personal/irina_brimmell_delta_com/Documents/Desktop 10.18/ANCS/Mar24/"/>
    </mc:Choice>
  </mc:AlternateContent>
  <xr:revisionPtr revIDLastSave="57" documentId="11_4B22955510FCB4595CCE51DFB26C128BA8A3340F" xr6:coauthVersionLast="47" xr6:coauthVersionMax="47" xr10:uidLastSave="{C4375C2A-4878-485A-85D4-409CC152A412}"/>
  <bookViews>
    <workbookView xWindow="1515" yWindow="-120" windowWidth="27405" windowHeight="16440" activeTab="3" xr2:uid="{00000000-000D-0000-FFFF-FFFF00000000}"/>
  </bookViews>
  <sheets>
    <sheet name="Budget Summary FY24" sheetId="1" r:id="rId1"/>
    <sheet name="Cash Flow BOP " sheetId="2" r:id="rId2"/>
    <sheet name="Cash Flow - Actual" sheetId="3" r:id="rId3"/>
    <sheet name="Monthly Financial Stmt" sheetId="4" r:id="rId4"/>
    <sheet name="Cash Balances" sheetId="5" r:id="rId5"/>
    <sheet name="PTCA" sheetId="6" r:id="rId6"/>
    <sheet name="Salaries 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4" l="1"/>
  <c r="U31" i="4" s="1"/>
  <c r="T31" i="4"/>
  <c r="T30" i="4"/>
  <c r="T29" i="4"/>
  <c r="T28" i="4"/>
  <c r="T27" i="4"/>
  <c r="T26" i="4"/>
  <c r="T25" i="4"/>
  <c r="T24" i="4"/>
  <c r="T23" i="4"/>
  <c r="T22" i="4"/>
  <c r="T21" i="4"/>
  <c r="T20" i="4"/>
  <c r="U12" i="4"/>
  <c r="U17" i="4" s="1"/>
  <c r="T17" i="4"/>
  <c r="T8" i="4"/>
  <c r="T9" i="4"/>
  <c r="T10" i="4"/>
  <c r="T11" i="4"/>
  <c r="T12" i="4"/>
  <c r="T13" i="4"/>
  <c r="T14" i="4"/>
  <c r="T15" i="4"/>
  <c r="T16" i="4"/>
  <c r="T7" i="4"/>
  <c r="P7" i="2"/>
  <c r="S7" i="2" s="1"/>
  <c r="R1" i="4"/>
  <c r="G25" i="7"/>
  <c r="F25" i="7"/>
  <c r="N24" i="7"/>
  <c r="N25" i="7" s="1"/>
  <c r="M24" i="7"/>
  <c r="M25" i="7" s="1"/>
  <c r="L24" i="7"/>
  <c r="L25" i="7" s="1"/>
  <c r="K24" i="7"/>
  <c r="K25" i="7" s="1"/>
  <c r="J24" i="7"/>
  <c r="I24" i="7"/>
  <c r="H24" i="7"/>
  <c r="G24" i="7"/>
  <c r="F24" i="7"/>
  <c r="E24" i="7"/>
  <c r="E25" i="7" s="1"/>
  <c r="D24" i="7"/>
  <c r="D25" i="7" s="1"/>
  <c r="C24" i="7"/>
  <c r="C25" i="7" s="1"/>
  <c r="N21" i="7"/>
  <c r="M21" i="7"/>
  <c r="L21" i="7"/>
  <c r="K21" i="7"/>
  <c r="J21" i="7"/>
  <c r="I21" i="7"/>
  <c r="I25" i="7" s="1"/>
  <c r="H21" i="7"/>
  <c r="H25" i="7" s="1"/>
  <c r="G21" i="7"/>
  <c r="F21" i="7"/>
  <c r="E21" i="7"/>
  <c r="D21" i="7"/>
  <c r="C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6" i="7"/>
  <c r="O21" i="7" s="1"/>
  <c r="O24" i="7" s="1"/>
  <c r="A3" i="7"/>
  <c r="N33" i="6"/>
  <c r="M33" i="6"/>
  <c r="L33" i="6"/>
  <c r="K33" i="6"/>
  <c r="J33" i="6"/>
  <c r="I33" i="6"/>
  <c r="H33" i="6"/>
  <c r="G33" i="6"/>
  <c r="F33" i="6"/>
  <c r="E33" i="6"/>
  <c r="D33" i="6"/>
  <c r="C33" i="6"/>
  <c r="N13" i="6"/>
  <c r="M13" i="6"/>
  <c r="L13" i="6"/>
  <c r="K13" i="6"/>
  <c r="J13" i="6"/>
  <c r="I13" i="6"/>
  <c r="H13" i="6"/>
  <c r="G13" i="6"/>
  <c r="F13" i="6"/>
  <c r="E13" i="6"/>
  <c r="D13" i="6"/>
  <c r="C13" i="6"/>
  <c r="C35" i="6" s="1"/>
  <c r="D6" i="6" s="1"/>
  <c r="D35" i="6" s="1"/>
  <c r="E6" i="6" s="1"/>
  <c r="E35" i="6" s="1"/>
  <c r="F6" i="6" s="1"/>
  <c r="F35" i="6" s="1"/>
  <c r="G6" i="6" s="1"/>
  <c r="G35" i="6" s="1"/>
  <c r="H6" i="6" s="1"/>
  <c r="H35" i="6" s="1"/>
  <c r="I6" i="6" s="1"/>
  <c r="I35" i="6" s="1"/>
  <c r="J6" i="6" s="1"/>
  <c r="J35" i="6" s="1"/>
  <c r="K6" i="6" s="1"/>
  <c r="K35" i="6" s="1"/>
  <c r="L6" i="6" s="1"/>
  <c r="L35" i="6" s="1"/>
  <c r="M6" i="6" s="1"/>
  <c r="M35" i="6" s="1"/>
  <c r="N6" i="6" s="1"/>
  <c r="N35" i="6" s="1"/>
  <c r="A3" i="6"/>
  <c r="C16" i="5"/>
  <c r="C17" i="5" s="1"/>
  <c r="C20" i="5" s="1"/>
  <c r="C15" i="5"/>
  <c r="C14" i="5"/>
  <c r="C13" i="5"/>
  <c r="C7" i="5"/>
  <c r="C6" i="5"/>
  <c r="C8" i="5" s="1"/>
  <c r="A2" i="5"/>
  <c r="E41" i="4"/>
  <c r="E40" i="4"/>
  <c r="E43" i="4" s="1"/>
  <c r="E30" i="4"/>
  <c r="Q29" i="4"/>
  <c r="G29" i="4"/>
  <c r="Q28" i="4"/>
  <c r="G28" i="4"/>
  <c r="Q27" i="4"/>
  <c r="Q26" i="4"/>
  <c r="G26" i="4"/>
  <c r="D25" i="4"/>
  <c r="Q24" i="4"/>
  <c r="G24" i="4"/>
  <c r="Q23" i="4"/>
  <c r="G23" i="4"/>
  <c r="Q22" i="4"/>
  <c r="G22" i="4"/>
  <c r="E22" i="4"/>
  <c r="Q21" i="4"/>
  <c r="G21" i="4"/>
  <c r="E21" i="4"/>
  <c r="Q20" i="4"/>
  <c r="G20" i="4"/>
  <c r="D20" i="4"/>
  <c r="D31" i="4" s="1"/>
  <c r="D17" i="4"/>
  <c r="Q16" i="4"/>
  <c r="G16" i="4"/>
  <c r="Q15" i="4"/>
  <c r="L15" i="4"/>
  <c r="G15" i="4"/>
  <c r="D15" i="4"/>
  <c r="Q14" i="4"/>
  <c r="G14" i="4"/>
  <c r="Q13" i="4"/>
  <c r="L13" i="4"/>
  <c r="J13" i="4"/>
  <c r="G13" i="4"/>
  <c r="D12" i="4"/>
  <c r="Q11" i="4"/>
  <c r="L11" i="4"/>
  <c r="G11" i="4"/>
  <c r="D11" i="4"/>
  <c r="Q10" i="4"/>
  <c r="G10" i="4"/>
  <c r="Q9" i="4"/>
  <c r="G9" i="4"/>
  <c r="G8" i="4"/>
  <c r="E8" i="4"/>
  <c r="Q7" i="4"/>
  <c r="G7" i="4"/>
  <c r="E7" i="4"/>
  <c r="D7" i="4"/>
  <c r="B3" i="4"/>
  <c r="M44" i="3"/>
  <c r="L44" i="3"/>
  <c r="L46" i="3" s="1"/>
  <c r="K44" i="3"/>
  <c r="J44" i="3"/>
  <c r="E44" i="3"/>
  <c r="D44" i="3"/>
  <c r="O41" i="3"/>
  <c r="N41" i="3"/>
  <c r="N44" i="3" s="1"/>
  <c r="M41" i="3"/>
  <c r="L41" i="3"/>
  <c r="K41" i="3"/>
  <c r="J41" i="3"/>
  <c r="I41" i="3"/>
  <c r="H41" i="3"/>
  <c r="H44" i="3" s="1"/>
  <c r="G41" i="3"/>
  <c r="F41" i="3"/>
  <c r="F44" i="3" s="1"/>
  <c r="E41" i="3"/>
  <c r="D41" i="3"/>
  <c r="M39" i="3"/>
  <c r="M45" i="3" s="1"/>
  <c r="L39" i="3"/>
  <c r="L45" i="3" s="1"/>
  <c r="O37" i="3"/>
  <c r="N37" i="3"/>
  <c r="M37" i="3"/>
  <c r="L37" i="3"/>
  <c r="K37" i="3"/>
  <c r="J37" i="3"/>
  <c r="H37" i="3"/>
  <c r="G37" i="3"/>
  <c r="F37" i="3"/>
  <c r="E37" i="3"/>
  <c r="D37" i="3"/>
  <c r="Q36" i="3"/>
  <c r="Q35" i="3"/>
  <c r="I35" i="3"/>
  <c r="I37" i="3" s="1"/>
  <c r="O31" i="3"/>
  <c r="N31" i="3"/>
  <c r="M31" i="3"/>
  <c r="M33" i="3" s="1"/>
  <c r="L31" i="3"/>
  <c r="G31" i="3"/>
  <c r="F31" i="3"/>
  <c r="E31" i="3"/>
  <c r="K30" i="3"/>
  <c r="Q30" i="4" s="1"/>
  <c r="J30" i="3"/>
  <c r="I30" i="3"/>
  <c r="G30" i="3"/>
  <c r="E30" i="3"/>
  <c r="D30" i="3"/>
  <c r="Q30" i="3" s="1"/>
  <c r="K29" i="3"/>
  <c r="J29" i="3"/>
  <c r="I29" i="3"/>
  <c r="H29" i="3"/>
  <c r="G29" i="3"/>
  <c r="F29" i="3"/>
  <c r="Q29" i="3" s="1"/>
  <c r="E29" i="4" s="1"/>
  <c r="Q28" i="3"/>
  <c r="E28" i="4" s="1"/>
  <c r="I28" i="4" s="1"/>
  <c r="J28" i="4" s="1"/>
  <c r="F28" i="3"/>
  <c r="K27" i="3"/>
  <c r="J27" i="3"/>
  <c r="I27" i="3"/>
  <c r="H27" i="3"/>
  <c r="G27" i="3"/>
  <c r="F27" i="3"/>
  <c r="E27" i="3"/>
  <c r="D27" i="3"/>
  <c r="Q26" i="3"/>
  <c r="E26" i="4" s="1"/>
  <c r="I26" i="4" s="1"/>
  <c r="J26" i="4" s="1"/>
  <c r="K25" i="3"/>
  <c r="K31" i="3" s="1"/>
  <c r="J25" i="3"/>
  <c r="I25" i="3"/>
  <c r="I31" i="3" s="1"/>
  <c r="I33" i="3" s="1"/>
  <c r="H25" i="3"/>
  <c r="G25" i="3"/>
  <c r="F25" i="3"/>
  <c r="E25" i="3"/>
  <c r="D25" i="3"/>
  <c r="Q24" i="3"/>
  <c r="E24" i="4" s="1"/>
  <c r="I24" i="4" s="1"/>
  <c r="J24" i="4" s="1"/>
  <c r="J23" i="3"/>
  <c r="J31" i="3" s="1"/>
  <c r="E23" i="3"/>
  <c r="Q22" i="3"/>
  <c r="Q21" i="3"/>
  <c r="G20" i="3"/>
  <c r="D20" i="3"/>
  <c r="D31" i="3" s="1"/>
  <c r="O17" i="3"/>
  <c r="N17" i="3"/>
  <c r="N33" i="3" s="1"/>
  <c r="N39" i="3" s="1"/>
  <c r="N45" i="3" s="1"/>
  <c r="M17" i="3"/>
  <c r="L17" i="3"/>
  <c r="L33" i="3" s="1"/>
  <c r="I17" i="3"/>
  <c r="H17" i="3"/>
  <c r="G17" i="3"/>
  <c r="G33" i="3" s="1"/>
  <c r="G39" i="3" s="1"/>
  <c r="G45" i="3" s="1"/>
  <c r="F17" i="3"/>
  <c r="F33" i="3" s="1"/>
  <c r="F39" i="3" s="1"/>
  <c r="F45" i="3" s="1"/>
  <c r="D17" i="3"/>
  <c r="D33" i="3" s="1"/>
  <c r="D39" i="3" s="1"/>
  <c r="Q16" i="3"/>
  <c r="E16" i="4" s="1"/>
  <c r="I16" i="4" s="1"/>
  <c r="J16" i="4" s="1"/>
  <c r="Q15" i="3"/>
  <c r="E15" i="4" s="1"/>
  <c r="I15" i="4" s="1"/>
  <c r="J15" i="4" s="1"/>
  <c r="Q14" i="3"/>
  <c r="E14" i="4" s="1"/>
  <c r="I14" i="4" s="1"/>
  <c r="J14" i="4" s="1"/>
  <c r="Q13" i="3"/>
  <c r="E13" i="4" s="1"/>
  <c r="I13" i="4" s="1"/>
  <c r="K12" i="3"/>
  <c r="Q12" i="3" s="1"/>
  <c r="E12" i="4" s="1"/>
  <c r="J12" i="3"/>
  <c r="I12" i="3"/>
  <c r="H12" i="3"/>
  <c r="G12" i="3"/>
  <c r="F12" i="3"/>
  <c r="E12" i="3"/>
  <c r="E17" i="3" s="1"/>
  <c r="J11" i="3"/>
  <c r="J17" i="3" s="1"/>
  <c r="J33" i="3" s="1"/>
  <c r="J39" i="3" s="1"/>
  <c r="J45" i="3" s="1"/>
  <c r="Q10" i="3"/>
  <c r="E10" i="4" s="1"/>
  <c r="I10" i="4" s="1"/>
  <c r="J10" i="4" s="1"/>
  <c r="Q9" i="3"/>
  <c r="E9" i="4" s="1"/>
  <c r="Q8" i="3"/>
  <c r="K8" i="3"/>
  <c r="Q8" i="4" s="1"/>
  <c r="Q7" i="3"/>
  <c r="D35" i="2"/>
  <c r="F33" i="2"/>
  <c r="U31" i="2"/>
  <c r="Q31" i="2"/>
  <c r="O31" i="2"/>
  <c r="O33" i="2" s="1"/>
  <c r="N31" i="2"/>
  <c r="M31" i="2"/>
  <c r="L31" i="2"/>
  <c r="K31" i="2"/>
  <c r="J31" i="2"/>
  <c r="I31" i="2"/>
  <c r="H31" i="2"/>
  <c r="G31" i="2"/>
  <c r="F31" i="2"/>
  <c r="E30" i="2"/>
  <c r="G30" i="4" s="1"/>
  <c r="D30" i="2"/>
  <c r="P29" i="2"/>
  <c r="L29" i="4" s="1"/>
  <c r="P28" i="2"/>
  <c r="S28" i="2" s="1"/>
  <c r="N27" i="2"/>
  <c r="D27" i="2"/>
  <c r="P27" i="2" s="1"/>
  <c r="S27" i="2" s="1"/>
  <c r="S26" i="2"/>
  <c r="V26" i="2" s="1"/>
  <c r="W26" i="2" s="1"/>
  <c r="P26" i="2"/>
  <c r="E25" i="2"/>
  <c r="D25" i="2"/>
  <c r="G25" i="4" s="1"/>
  <c r="G45" i="4" s="1"/>
  <c r="S24" i="2"/>
  <c r="L24" i="4" s="1"/>
  <c r="P24" i="2"/>
  <c r="O23" i="2"/>
  <c r="P23" i="2" s="1"/>
  <c r="S23" i="2" s="1"/>
  <c r="P22" i="2"/>
  <c r="S22" i="2" s="1"/>
  <c r="L22" i="4" s="1"/>
  <c r="P21" i="2"/>
  <c r="S21" i="2" s="1"/>
  <c r="V20" i="2"/>
  <c r="W20" i="2" s="1"/>
  <c r="P20" i="2"/>
  <c r="S20" i="2" s="1"/>
  <c r="L20" i="4" s="1"/>
  <c r="U17" i="2"/>
  <c r="U33" i="2" s="1"/>
  <c r="Q17" i="2"/>
  <c r="Q33" i="2" s="1"/>
  <c r="O17" i="2"/>
  <c r="K17" i="2"/>
  <c r="K33" i="2" s="1"/>
  <c r="J17" i="2"/>
  <c r="J33" i="2" s="1"/>
  <c r="I17" i="2"/>
  <c r="I33" i="2" s="1"/>
  <c r="H17" i="2"/>
  <c r="H33" i="2" s="1"/>
  <c r="D17" i="2"/>
  <c r="P16" i="2"/>
  <c r="S16" i="2" s="1"/>
  <c r="S15" i="2"/>
  <c r="V15" i="2" s="1"/>
  <c r="W15" i="2" s="1"/>
  <c r="P15" i="2"/>
  <c r="P14" i="2"/>
  <c r="S14" i="2" s="1"/>
  <c r="L14" i="4" s="1"/>
  <c r="M14" i="4" s="1"/>
  <c r="P13" i="2"/>
  <c r="S13" i="2" s="1"/>
  <c r="V13" i="2" s="1"/>
  <c r="W13" i="2" s="1"/>
  <c r="N12" i="2"/>
  <c r="N17" i="2" s="1"/>
  <c r="N33" i="2" s="1"/>
  <c r="M12" i="2"/>
  <c r="M17" i="2" s="1"/>
  <c r="M33" i="2" s="1"/>
  <c r="L12" i="2"/>
  <c r="L17" i="2" s="1"/>
  <c r="L33" i="2" s="1"/>
  <c r="K12" i="2"/>
  <c r="J12" i="2"/>
  <c r="I12" i="2"/>
  <c r="H12" i="2"/>
  <c r="G12" i="2"/>
  <c r="G17" i="2" s="1"/>
  <c r="G33" i="2" s="1"/>
  <c r="F12" i="2"/>
  <c r="F17" i="2" s="1"/>
  <c r="E12" i="2"/>
  <c r="P12" i="2" s="1"/>
  <c r="S12" i="2" s="1"/>
  <c r="S11" i="2"/>
  <c r="V11" i="2" s="1"/>
  <c r="W11" i="2" s="1"/>
  <c r="P11" i="2"/>
  <c r="P10" i="2"/>
  <c r="S10" i="2" s="1"/>
  <c r="P9" i="2"/>
  <c r="S9" i="2" s="1"/>
  <c r="P8" i="2"/>
  <c r="S8" i="2" s="1"/>
  <c r="L27" i="4" l="1"/>
  <c r="V27" i="2"/>
  <c r="W27" i="2" s="1"/>
  <c r="M29" i="4"/>
  <c r="I29" i="4"/>
  <c r="J29" i="4" s="1"/>
  <c r="L16" i="4"/>
  <c r="M16" i="4" s="1"/>
  <c r="V16" i="2"/>
  <c r="W16" i="2" s="1"/>
  <c r="D45" i="3"/>
  <c r="D46" i="3" s="1"/>
  <c r="V8" i="2"/>
  <c r="W8" i="2" s="1"/>
  <c r="L8" i="4"/>
  <c r="J46" i="3"/>
  <c r="I39" i="3"/>
  <c r="I45" i="3" s="1"/>
  <c r="Q37" i="3"/>
  <c r="E33" i="4" s="1"/>
  <c r="V12" i="2"/>
  <c r="W12" i="2" s="1"/>
  <c r="L12" i="4"/>
  <c r="M12" i="4" s="1"/>
  <c r="V10" i="2"/>
  <c r="W10" i="2" s="1"/>
  <c r="L10" i="4"/>
  <c r="G17" i="4"/>
  <c r="C10" i="5"/>
  <c r="C23" i="5"/>
  <c r="L21" i="4"/>
  <c r="V21" i="2"/>
  <c r="W21" i="2" s="1"/>
  <c r="M8" i="4"/>
  <c r="M22" i="4"/>
  <c r="V22" i="2"/>
  <c r="W22" i="2" s="1"/>
  <c r="E31" i="2"/>
  <c r="Q11" i="3"/>
  <c r="E11" i="4" s="1"/>
  <c r="Q27" i="3"/>
  <c r="E27" i="4" s="1"/>
  <c r="F46" i="3"/>
  <c r="N46" i="3"/>
  <c r="M13" i="4"/>
  <c r="V24" i="2"/>
  <c r="W24" i="2" s="1"/>
  <c r="P30" i="2"/>
  <c r="S30" i="2" s="1"/>
  <c r="K17" i="3"/>
  <c r="K33" i="3" s="1"/>
  <c r="K39" i="3" s="1"/>
  <c r="K45" i="3" s="1"/>
  <c r="K46" i="3" s="1"/>
  <c r="Q12" i="4"/>
  <c r="L28" i="4"/>
  <c r="V28" i="2"/>
  <c r="W28" i="2" s="1"/>
  <c r="E33" i="3"/>
  <c r="E39" i="3" s="1"/>
  <c r="E45" i="3" s="1"/>
  <c r="E46" i="3" s="1"/>
  <c r="G44" i="3"/>
  <c r="G46" i="3" s="1"/>
  <c r="O44" i="3"/>
  <c r="O46" i="3" s="1"/>
  <c r="I8" i="4"/>
  <c r="J8" i="4" s="1"/>
  <c r="M15" i="4"/>
  <c r="I22" i="4"/>
  <c r="J22" i="4" s="1"/>
  <c r="M28" i="4"/>
  <c r="I7" i="4"/>
  <c r="J7" i="4" s="1"/>
  <c r="M21" i="4"/>
  <c r="I21" i="4"/>
  <c r="J21" i="4" s="1"/>
  <c r="M9" i="4"/>
  <c r="Q23" i="3"/>
  <c r="E23" i="4" s="1"/>
  <c r="M24" i="4"/>
  <c r="D32" i="4"/>
  <c r="V9" i="2"/>
  <c r="L9" i="4"/>
  <c r="Q25" i="3"/>
  <c r="E25" i="4" s="1"/>
  <c r="V23" i="2"/>
  <c r="W23" i="2" s="1"/>
  <c r="L23" i="4"/>
  <c r="L26" i="4"/>
  <c r="G12" i="4"/>
  <c r="I12" i="4" s="1"/>
  <c r="J12" i="4" s="1"/>
  <c r="E17" i="2"/>
  <c r="O33" i="3"/>
  <c r="O39" i="3" s="1"/>
  <c r="O45" i="3" s="1"/>
  <c r="M10" i="4"/>
  <c r="I30" i="4"/>
  <c r="J30" i="4" s="1"/>
  <c r="M46" i="3"/>
  <c r="V7" i="2"/>
  <c r="W7" i="2" s="1"/>
  <c r="L7" i="4"/>
  <c r="H31" i="3"/>
  <c r="H33" i="3" s="1"/>
  <c r="H39" i="3" s="1"/>
  <c r="H45" i="3" s="1"/>
  <c r="H46" i="3" s="1"/>
  <c r="I44" i="3"/>
  <c r="I9" i="4"/>
  <c r="J9" i="4" s="1"/>
  <c r="M26" i="4"/>
  <c r="Q25" i="4"/>
  <c r="Q20" i="3"/>
  <c r="E20" i="4" s="1"/>
  <c r="D31" i="2"/>
  <c r="P25" i="2"/>
  <c r="S25" i="2" s="1"/>
  <c r="G27" i="4"/>
  <c r="G31" i="4" s="1"/>
  <c r="G47" i="4" s="1"/>
  <c r="D33" i="2" l="1"/>
  <c r="P31" i="2"/>
  <c r="S31" i="2" s="1"/>
  <c r="V31" i="2" s="1"/>
  <c r="W31" i="2" s="1"/>
  <c r="L30" i="4"/>
  <c r="M30" i="4" s="1"/>
  <c r="V30" i="2"/>
  <c r="W30" i="2" s="1"/>
  <c r="M20" i="4"/>
  <c r="I20" i="4"/>
  <c r="J20" i="4" s="1"/>
  <c r="E31" i="4"/>
  <c r="L17" i="4"/>
  <c r="E45" i="4"/>
  <c r="I25" i="4"/>
  <c r="J25" i="4" s="1"/>
  <c r="G32" i="4"/>
  <c r="V25" i="2"/>
  <c r="W25" i="2" s="1"/>
  <c r="L25" i="4"/>
  <c r="L45" i="4" s="1"/>
  <c r="Q17" i="3"/>
  <c r="Q39" i="3"/>
  <c r="E34" i="4" s="1"/>
  <c r="Q31" i="3"/>
  <c r="I27" i="4"/>
  <c r="J27" i="4" s="1"/>
  <c r="M27" i="4"/>
  <c r="M11" i="4"/>
  <c r="I11" i="4"/>
  <c r="J11" i="4" s="1"/>
  <c r="E33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17" i="2"/>
  <c r="S17" i="2" s="1"/>
  <c r="V17" i="2" s="1"/>
  <c r="W17" i="2" s="1"/>
  <c r="E17" i="4"/>
  <c r="M7" i="4"/>
  <c r="I46" i="3"/>
  <c r="M23" i="4"/>
  <c r="I23" i="4"/>
  <c r="J23" i="4" s="1"/>
  <c r="Q33" i="3"/>
  <c r="Q35" i="2" l="1"/>
  <c r="P35" i="2"/>
  <c r="S35" i="2" s="1"/>
  <c r="V35" i="2" s="1"/>
  <c r="W35" i="2" s="1"/>
  <c r="M25" i="4"/>
  <c r="I31" i="4"/>
  <c r="J31" i="4" s="1"/>
  <c r="E47" i="4"/>
  <c r="I45" i="4"/>
  <c r="J45" i="4" s="1"/>
  <c r="M45" i="4"/>
  <c r="P33" i="2"/>
  <c r="S33" i="2" s="1"/>
  <c r="V33" i="2" s="1"/>
  <c r="W33" i="2" s="1"/>
  <c r="I17" i="4"/>
  <c r="J17" i="4" s="1"/>
  <c r="E32" i="4"/>
  <c r="I32" i="4" s="1"/>
  <c r="J32" i="4" s="1"/>
  <c r="M17" i="4"/>
  <c r="L31" i="4"/>
  <c r="L47" i="4" s="1"/>
  <c r="M47" i="4" l="1"/>
  <c r="I47" i="4"/>
  <c r="J47" i="4" s="1"/>
  <c r="L32" i="4"/>
  <c r="L33" i="4" s="1"/>
  <c r="L34" i="4" s="1"/>
  <c r="M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00000000-0006-0000-0100-000001000000}">
      <text>
        <r>
          <rPr>
            <sz val="11"/>
            <color rgb="FF000000"/>
            <rFont val="Calibri"/>
            <scheme val="minor"/>
          </rPr>
          <t>======
ID#AAABGGKhQ7M
Microsoft Office User    (2023-01-23 15:48:46)
During FY22, amount will include nutrition grant reimbursement income by USDA for free student meals.</t>
        </r>
      </text>
    </comment>
    <comment ref="B11" authorId="0" shapeId="0" xr:uid="{00000000-0006-0000-0100-000002000000}">
      <text>
        <r>
          <rPr>
            <sz val="11"/>
            <color rgb="FF000000"/>
            <rFont val="Calibri"/>
            <scheme val="minor"/>
          </rPr>
          <t>======
ID#AAABGFuzDdU
Microsoft Office User    (2023-01-23 15:48:46)
Fundraising Committee budget amounts plus $4,500 additional each month</t>
        </r>
      </text>
    </comment>
    <comment ref="B23" authorId="0" shapeId="0" xr:uid="{00000000-0006-0000-0100-000003000000}">
      <text>
        <r>
          <rPr>
            <sz val="11"/>
            <color rgb="FF000000"/>
            <rFont val="Calibri"/>
            <scheme val="minor"/>
          </rPr>
          <t>======
ID#AAABGGKhQ7U
Chiquetta West    (2023-09-06 16:30:50)
MACAL budget moved to a separate line</t>
        </r>
      </text>
    </comment>
    <comment ref="N27" authorId="0" shapeId="0" xr:uid="{00000000-0006-0000-0100-000004000000}">
      <text>
        <r>
          <rPr>
            <sz val="11"/>
            <color rgb="FF000000"/>
            <rFont val="Calibri"/>
            <scheme val="minor"/>
          </rPr>
          <t>======
ID#AAABGGKhQ7c
Chiquetta West    (2023-09-06 16:26:40)
Includes reserve funds $6,736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00000000-0006-0000-0200-000001000000}">
      <text>
        <r>
          <rPr>
            <sz val="11"/>
            <color rgb="FF000000"/>
            <rFont val="Calibri"/>
            <scheme val="minor"/>
          </rPr>
          <t>======
ID#AAABGFuzDdI
Microsoft Office User    (2023-01-23 15:48:46)
During FY22, amount will include nutrition grant reimbursement income by USDA for free student meals.</t>
        </r>
      </text>
    </comment>
    <comment ref="B12" authorId="0" shapeId="0" xr:uid="{00000000-0006-0000-0200-000002000000}">
      <text>
        <r>
          <rPr>
            <sz val="11"/>
            <color rgb="FF000000"/>
            <rFont val="Calibri"/>
            <scheme val="minor"/>
          </rPr>
          <t>======
ID#AAABGFuzDdQ
Microsoft Office User    (2023-01-23 15:48:46)
Includes the following GL Accounts:
#4205 - Program Income
#4210 - Field Trip Income</t>
        </r>
      </text>
    </comment>
    <comment ref="B15" authorId="0" shapeId="0" xr:uid="{00000000-0006-0000-0200-000003000000}">
      <text>
        <r>
          <rPr>
            <sz val="11"/>
            <color rgb="FF000000"/>
            <rFont val="Calibri"/>
            <scheme val="minor"/>
          </rPr>
          <t>======
ID#AAABGGKhQ7g
Microsoft Office User    (2023-01-23 15:48:46)
Includes the following GL Accounts:
#4207 - MACAL Revenue
#4275 - Other Income
#7653 - CREATE PD Income</t>
        </r>
      </text>
    </comment>
    <comment ref="B20" authorId="0" shapeId="0" xr:uid="{00000000-0006-0000-0200-000004000000}">
      <text>
        <r>
          <rPr>
            <sz val="11"/>
            <color rgb="FF000000"/>
            <rFont val="Calibri"/>
            <scheme val="minor"/>
          </rPr>
          <t>======
ID#AAABGGKhQ7Q
Microsoft Office User    (2023-01-23 15:48:46)
Includes the following GL Accounts:
#6000 - Salaries
#6000.1 - Aftercare Salaries
#7766 - Contracted Personnel</t>
        </r>
      </text>
    </comment>
    <comment ref="B25" authorId="0" shapeId="0" xr:uid="{00000000-0006-0000-0200-000005000000}">
      <text>
        <r>
          <rPr>
            <sz val="11"/>
            <color rgb="FF000000"/>
            <rFont val="Calibri"/>
            <scheme val="minor"/>
          </rPr>
          <t>======
ID#AAABGFuzDc8
Microsoft Office User    (2023-01-23 15:48:46)
Includes the following GL Accounts:
#6300 - Building &amp; Grounds
#6310 - Utilities
#6350 - Repair &amp; Maintenance</t>
        </r>
      </text>
    </comment>
    <comment ref="B27" authorId="0" shapeId="0" xr:uid="{00000000-0006-0000-0200-000006000000}">
      <text>
        <r>
          <rPr>
            <sz val="11"/>
            <color rgb="FF000000"/>
            <rFont val="Calibri"/>
            <scheme val="minor"/>
          </rPr>
          <t>======
ID#AAABGGKhQ7Y
Microsoft Office User    (2023-01-23 15:48:46)
Includes the following GL Accounts:
#6430 - G&amp;A Expense
#6955 - MACAL Athletic Expense
#7010 - Undistributed Expense - Credit Card</t>
        </r>
      </text>
    </comment>
    <comment ref="I36" authorId="0" shapeId="0" xr:uid="{00000000-0006-0000-0200-000007000000}">
      <text>
        <r>
          <rPr>
            <sz val="11"/>
            <color rgb="FF000000"/>
            <rFont val="Calibri"/>
            <scheme val="minor"/>
          </rPr>
          <t>======
ID#AAABGFuzDcw
Microsoft Office User    (2023-01-23 15:48:46)
Top-side reclass of $36,408 for CREATE expenditure in Dec.  See updated QBO.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5" authorId="0" shapeId="0" xr:uid="{00000000-0006-0000-0300-000001000000}">
      <text>
        <r>
          <rPr>
            <sz val="11"/>
            <color rgb="FF000000"/>
            <rFont val="Calibri"/>
            <scheme val="minor"/>
          </rPr>
          <t>======
ID#AAABGFuzDc4
Microsoft Office User    (2023-01-23 15:48:46)
For FY21, Management decided to explain variances greater than $25K each month.  
We noted that $25K was considered 0.25% of total operating income.</t>
        </r>
      </text>
    </comment>
    <comment ref="C41" authorId="0" shapeId="0" xr:uid="{00000000-0006-0000-0300-000002000000}">
      <text>
        <r>
          <rPr>
            <sz val="11"/>
            <color rgb="FF000000"/>
            <rFont val="Calibri"/>
            <scheme val="minor"/>
          </rPr>
          <t>======
ID#AAABGFuzDdY
Chiquetta West    (2023-09-06 16:47:22)
Turf @ EC, Farm building &amp; doors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400-000001000000}">
      <text>
        <r>
          <rPr>
            <sz val="11"/>
            <color rgb="FF000000"/>
            <rFont val="Calibri"/>
            <scheme val="minor"/>
          </rPr>
          <t>======
ID#AAABGFuzDdA
Arnold Pierce    (2023-03-03 20:36:10)
Reserved cash amount confirmed and reflected in the 2021 Audit Report for $245,816. 
In 2022 Audit Report this amount is reflected as $0, as the Board decided to actively invest amounts a portion of restricted assets in the stock market.</t>
        </r>
      </text>
    </comment>
    <comment ref="G13" authorId="0" shapeId="0" xr:uid="{00000000-0006-0000-0400-000002000000}">
      <text>
        <r>
          <rPr>
            <sz val="11"/>
            <color rgb="FF000000"/>
            <rFont val="Calibri"/>
            <scheme val="minor"/>
          </rPr>
          <t>======
ID#AAABGFuzDc0
    (2023-08-10 15:22:11)
Closed in FY23 due to fraudulence
	-Chiquetta West</t>
        </r>
      </text>
    </comment>
    <comment ref="C19" authorId="0" shapeId="0" xr:uid="{00000000-0006-0000-0400-000003000000}">
      <text>
        <r>
          <rPr>
            <sz val="11"/>
            <color rgb="FF000000"/>
            <rFont val="Calibri"/>
            <scheme val="minor"/>
          </rPr>
          <t>======
ID#AAABGGKhQ7I
arnold pierce    (2023-03-03 20:36:10)
Reserved CD amount confirmed and reflected in 2021 Audit Report. As of right now, there is no change to this amount.</t>
        </r>
      </text>
    </comment>
    <comment ref="G19" authorId="0" shapeId="0" xr:uid="{00000000-0006-0000-0400-000004000000}">
      <text>
        <r>
          <rPr>
            <sz val="11"/>
            <color rgb="FF000000"/>
            <rFont val="Calibri"/>
            <scheme val="minor"/>
          </rPr>
          <t>======
ID#AAABGFuzDdM
Microsoft Office User    (2023-03-03 20:36:10)
Separate nutrition bank account established in December 2022 to eliminate commingling within Operating Account bank account and potentially reduce fraud.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600-000001000000}">
      <text>
        <r>
          <rPr>
            <sz val="11"/>
            <color rgb="FF000000"/>
            <rFont val="Calibri"/>
            <scheme val="minor"/>
          </rPr>
          <t>======
ID#AAABGFuzDdE
Chiquetta West    (2023-11-02 19:48:08)
Crossing guards</t>
        </r>
      </text>
    </comment>
  </commentList>
</comments>
</file>

<file path=xl/sharedStrings.xml><?xml version="1.0" encoding="utf-8"?>
<sst xmlns="http://schemas.openxmlformats.org/spreadsheetml/2006/main" count="499" uniqueCount="304">
  <si>
    <t>Status</t>
  </si>
  <si>
    <t>Approved</t>
  </si>
  <si>
    <t>Year</t>
  </si>
  <si>
    <t>FY2024</t>
  </si>
  <si>
    <t>Date</t>
  </si>
  <si>
    <t>-</t>
  </si>
  <si>
    <t>Atlanta Neighborhood Charter School</t>
  </si>
  <si>
    <t># of Students</t>
  </si>
  <si>
    <t>ANCS</t>
  </si>
  <si>
    <t>FY21 Approved Budget</t>
  </si>
  <si>
    <t>Proposed Adjustments</t>
  </si>
  <si>
    <t>FY22</t>
  </si>
  <si>
    <t>Income</t>
  </si>
  <si>
    <t>Tab #</t>
  </si>
  <si>
    <t>APS Allocation</t>
  </si>
  <si>
    <t>$ -</t>
  </si>
  <si>
    <t>Grants and Other Governmental Funds</t>
  </si>
  <si>
    <t>Total Local/State Funding, Grants, State Allocations</t>
  </si>
  <si>
    <t>Annual Campaign</t>
  </si>
  <si>
    <t>Wonderball</t>
  </si>
  <si>
    <t>Sponsorship</t>
  </si>
  <si>
    <t>Total Contributions &amp; Fundraising</t>
  </si>
  <si>
    <t>Nutrition Program</t>
  </si>
  <si>
    <t>PTCA income</t>
  </si>
  <si>
    <t>Field Trips</t>
  </si>
  <si>
    <t>Grade Level Trips</t>
  </si>
  <si>
    <t>Athletics</t>
  </si>
  <si>
    <t>MACAL</t>
  </si>
  <si>
    <t>AfterCare</t>
  </si>
  <si>
    <t>Total Program Income</t>
  </si>
  <si>
    <t>Other 
Income</t>
  </si>
  <si>
    <t>Interest Income</t>
  </si>
  <si>
    <t>Other</t>
  </si>
  <si>
    <t>Total Other Income</t>
  </si>
  <si>
    <t>Total Income</t>
  </si>
  <si>
    <t>Expense</t>
  </si>
  <si>
    <t>Salaries and Benefits</t>
  </si>
  <si>
    <t>Wellness Program Expense</t>
  </si>
  <si>
    <t>Total Salaries &amp; Benefits</t>
  </si>
  <si>
    <t>Staff Development</t>
  </si>
  <si>
    <t>Professional Development</t>
  </si>
  <si>
    <t>Total Staff Development</t>
  </si>
  <si>
    <t>Program Exp</t>
  </si>
  <si>
    <t>Nutrition Program Purchases (not including salary)</t>
  </si>
  <si>
    <t>AfterCare Expenses</t>
  </si>
  <si>
    <t>Saturday / Summer School</t>
  </si>
  <si>
    <t>PTCA</t>
  </si>
  <si>
    <t>Total Program Expenses</t>
  </si>
  <si>
    <t>Curriculum &amp; Material</t>
  </si>
  <si>
    <t>Classroom Supplies</t>
  </si>
  <si>
    <t>Instructional Curriculum Materials</t>
  </si>
  <si>
    <t>Total Curriculum Materials &amp; Expenses</t>
  </si>
  <si>
    <t>Total Curriculum &amp; Program Expenses</t>
  </si>
  <si>
    <t>Building &amp; Grounds</t>
  </si>
  <si>
    <t>Utilities &amp; Services</t>
  </si>
  <si>
    <t>Pest Control</t>
  </si>
  <si>
    <t>Janitorial Services</t>
  </si>
  <si>
    <t>Janitorial Supplies</t>
  </si>
  <si>
    <t>Supplies</t>
  </si>
  <si>
    <t>Building Mortgage</t>
  </si>
  <si>
    <t>Mobile Unit Lease (Net)</t>
  </si>
  <si>
    <t>Repairs / Maintenance</t>
  </si>
  <si>
    <t>Total Building Service &amp; Repairs/ Maintenance</t>
  </si>
  <si>
    <t>Farm</t>
  </si>
  <si>
    <t>Farm Supplies</t>
  </si>
  <si>
    <t>Total Farm</t>
  </si>
  <si>
    <t>Total Building &amp; Grounds/Farm Expenses</t>
  </si>
  <si>
    <t>Professsional Services</t>
  </si>
  <si>
    <t>Legal</t>
  </si>
  <si>
    <t>Accounting</t>
  </si>
  <si>
    <t>Auditing</t>
  </si>
  <si>
    <t>Total Professional Services</t>
  </si>
  <si>
    <t>General Admin</t>
  </si>
  <si>
    <t>Dues and Subscriptions</t>
  </si>
  <si>
    <t>Insurance</t>
  </si>
  <si>
    <t>Hospitality</t>
  </si>
  <si>
    <t>Licenses and Permits</t>
  </si>
  <si>
    <t>Governing Board/Committee Costs</t>
  </si>
  <si>
    <t>Central Office Supplies</t>
  </si>
  <si>
    <t>Payroll Service Fees</t>
  </si>
  <si>
    <t>Postage and Delivery</t>
  </si>
  <si>
    <t>Communications</t>
  </si>
  <si>
    <t>Medical Supplies</t>
  </si>
  <si>
    <t>Total Other Gen/Admin Expense</t>
  </si>
  <si>
    <t>Fundraising 
Expenses</t>
  </si>
  <si>
    <t>Fund Development Software</t>
  </si>
  <si>
    <t>Marketing/Direct Mail</t>
  </si>
  <si>
    <t>Other Events</t>
  </si>
  <si>
    <t>Total Fundraising Expenses</t>
  </si>
  <si>
    <t>Books/Equipment/Furniture/Technology</t>
  </si>
  <si>
    <t>Library</t>
  </si>
  <si>
    <t>Furniture</t>
  </si>
  <si>
    <t>Technology: Computers/Hardware</t>
  </si>
  <si>
    <t>Technology: Supplies</t>
  </si>
  <si>
    <t>Technology: Mobile phones</t>
  </si>
  <si>
    <t>Special Education Equipment</t>
  </si>
  <si>
    <t>Copier Lease &amp; Offsite Storage</t>
  </si>
  <si>
    <t>Copiers Supplies</t>
  </si>
  <si>
    <t>Total Books/Equipment/Furniture/Technology</t>
  </si>
  <si>
    <t>Emergency Reserve Fund</t>
  </si>
  <si>
    <t>Total Reserve Funds</t>
  </si>
  <si>
    <t>Total Expenses</t>
  </si>
  <si>
    <t>Operating Income/Loss</t>
  </si>
  <si>
    <t>ATLANTA NEIGHBORHOOD CHARTER SCHOOL</t>
  </si>
  <si>
    <t>FY 2024 - Pro Forma Monthly Cash Flow Statement</t>
  </si>
  <si>
    <t xml:space="preserve">Approved Revised Budget </t>
  </si>
  <si>
    <t>Allocation based on FTE Count = 628</t>
  </si>
  <si>
    <t>YTD Budget</t>
  </si>
  <si>
    <t>Contigency</t>
  </si>
  <si>
    <t>Revised Budget</t>
  </si>
  <si>
    <t>$</t>
  </si>
  <si>
    <t>%</t>
  </si>
  <si>
    <t>FY24</t>
  </si>
  <si>
    <t>FY23</t>
  </si>
  <si>
    <t>Difference</t>
  </si>
  <si>
    <t>Revenue</t>
  </si>
  <si>
    <t>APS Allocation Payment</t>
  </si>
  <si>
    <t>Other State and Local Funding</t>
  </si>
  <si>
    <t>Grants - CARES</t>
  </si>
  <si>
    <t>DoE Nutrition Grant</t>
  </si>
  <si>
    <t>Contributions &amp; Fundraising</t>
  </si>
  <si>
    <t>Program Income</t>
  </si>
  <si>
    <t>Nutrition Program Income</t>
  </si>
  <si>
    <t>Other Income</t>
  </si>
  <si>
    <t>Interest &amp; Dividend Income</t>
  </si>
  <si>
    <t>Total Revenue</t>
  </si>
  <si>
    <t>Expenditures</t>
  </si>
  <si>
    <t>Curriculum &amp; Classroom Expenses</t>
  </si>
  <si>
    <t>Program Expenses</t>
  </si>
  <si>
    <t>Nutrition Program Expenses</t>
  </si>
  <si>
    <t>Professional Services</t>
  </si>
  <si>
    <t>Gen&amp;Admin/Insurance/Interest</t>
  </si>
  <si>
    <t>Fundraising Expenses</t>
  </si>
  <si>
    <t>Books, Furniture &amp; Equipment</t>
  </si>
  <si>
    <t>Total Expenditures</t>
  </si>
  <si>
    <t>Total Revenues - Total Expenditures</t>
  </si>
  <si>
    <t>EOM Cash Balance</t>
  </si>
  <si>
    <r>
      <rPr>
        <sz val="10"/>
        <color rgb="FF000000"/>
        <rFont val="Calibri"/>
      </rPr>
      <t xml:space="preserve">See </t>
    </r>
    <r>
      <rPr>
        <b/>
        <sz val="10"/>
        <color rgb="FFFF0000"/>
        <rFont val="Calibri (Body)_x0000_"/>
      </rPr>
      <t>NOTE</t>
    </r>
    <r>
      <rPr>
        <sz val="10"/>
        <color rgb="FF000000"/>
        <rFont val="Calibri"/>
      </rPr>
      <t xml:space="preserve"> below</t>
    </r>
  </si>
  <si>
    <t>Actual</t>
  </si>
  <si>
    <t>Projected</t>
  </si>
  <si>
    <r>
      <rPr>
        <b/>
        <i/>
        <sz val="10"/>
        <color rgb="FFFF0000"/>
        <rFont val="Calibri (Body)_x0000_"/>
      </rPr>
      <t>Note</t>
    </r>
    <r>
      <rPr>
        <i/>
        <sz val="10"/>
        <color rgb="FF000000"/>
        <rFont val="Calibri"/>
      </rPr>
      <t>:  Adjusted to reflect only South State Bank operating accounts, initially as of July 1st. Not including $823K of investments</t>
    </r>
  </si>
  <si>
    <t>FY 2024 - Monthly Cash Flow Statement</t>
  </si>
  <si>
    <t>Allocation based on FTE Count = 620</t>
  </si>
  <si>
    <t>YTD</t>
  </si>
  <si>
    <t>Local/State Funding</t>
  </si>
  <si>
    <t>Net Other Revenue- CREATE</t>
  </si>
  <si>
    <t>Net OtherExpenses - CREATE</t>
  </si>
  <si>
    <t>Net Revenue</t>
  </si>
  <si>
    <t>Change in Cash</t>
  </si>
  <si>
    <t>Monthly Net Revenue</t>
  </si>
  <si>
    <t>Tickmark Legends</t>
  </si>
  <si>
    <t>PCA</t>
  </si>
  <si>
    <r>
      <rPr>
        <sz val="12"/>
        <color rgb="FF000000"/>
        <rFont val="Calibri"/>
      </rPr>
      <t xml:space="preserve">Amount revised to reflect "Post Closing Adjustment" entry, recorded </t>
    </r>
    <r>
      <rPr>
        <u/>
        <sz val="11"/>
        <color rgb="FF000000"/>
        <rFont val="Calibri (Body)_x0000_"/>
      </rPr>
      <t>after</t>
    </r>
    <r>
      <rPr>
        <sz val="11"/>
        <color rgb="FF000000"/>
        <rFont val="Calibri"/>
      </rPr>
      <t xml:space="preserve"> Finance Report generated the previous month. </t>
    </r>
  </si>
  <si>
    <t>YTD Budget-to-Actual Target</t>
  </si>
  <si>
    <t>Budget to Actual FY 2024</t>
  </si>
  <si>
    <t>YTD FY2020</t>
  </si>
  <si>
    <t>YTD FY24</t>
  </si>
  <si>
    <t xml:space="preserve">YTD </t>
  </si>
  <si>
    <t>% of Annual</t>
  </si>
  <si>
    <t xml:space="preserve">Variance </t>
  </si>
  <si>
    <t>Budget</t>
  </si>
  <si>
    <t>$Variance</t>
  </si>
  <si>
    <t>% Variance</t>
  </si>
  <si>
    <t>Explanation</t>
  </si>
  <si>
    <t>January Variances</t>
  </si>
  <si>
    <t>A</t>
  </si>
  <si>
    <t>B</t>
  </si>
  <si>
    <t>C</t>
  </si>
  <si>
    <t>D</t>
  </si>
  <si>
    <t>E</t>
  </si>
  <si>
    <t>F</t>
  </si>
  <si>
    <t>Nutrition Income</t>
  </si>
  <si>
    <t>G</t>
  </si>
  <si>
    <t>H</t>
  </si>
  <si>
    <t>I</t>
  </si>
  <si>
    <t>J</t>
  </si>
  <si>
    <t>K</t>
  </si>
  <si>
    <t>L</t>
  </si>
  <si>
    <t>Nutrition Program Purchases</t>
  </si>
  <si>
    <t xml:space="preserve">Building &amp; Grounds </t>
  </si>
  <si>
    <t>M</t>
  </si>
  <si>
    <t>N</t>
  </si>
  <si>
    <t>Gen&amp;Admin/Insurance/Interest Expense</t>
  </si>
  <si>
    <t>O</t>
  </si>
  <si>
    <t>P</t>
  </si>
  <si>
    <t>Total Operating Expenditures</t>
  </si>
  <si>
    <t xml:space="preserve"> Operating Income/(Loss)</t>
  </si>
  <si>
    <t>Net Other Rev.(Exp) - CREATE</t>
  </si>
  <si>
    <t>New explanation due to activity changes</t>
  </si>
  <si>
    <t>Net Revenue (Exp.)</t>
  </si>
  <si>
    <t>Previous explanations due to no activity changes</t>
  </si>
  <si>
    <t>YTD FY23</t>
  </si>
  <si>
    <t>Below the line activity - See Balance Sheet</t>
  </si>
  <si>
    <t>1614.6 Windows</t>
  </si>
  <si>
    <t>1633 Equipment - HVAC</t>
  </si>
  <si>
    <t>1620.3 Leasehold Improvement FY24</t>
  </si>
  <si>
    <t>1624  Water Heaters FY24</t>
  </si>
  <si>
    <t>Balance Sheet Total</t>
  </si>
  <si>
    <t>Total Buildings &amp; Grounds</t>
  </si>
  <si>
    <r>
      <rPr>
        <sz val="11"/>
        <color rgb="FF000000"/>
        <rFont val="Arial"/>
      </rPr>
      <t xml:space="preserve">EXPLANATIONS OF BUDGET TO ACTUAL VARIANCES
</t>
    </r>
    <r>
      <rPr>
        <b/>
        <sz val="11"/>
        <color rgb="FF000000"/>
        <rFont val="Arial"/>
      </rPr>
      <t xml:space="preserve">Income
</t>
    </r>
    <r>
      <rPr>
        <sz val="11"/>
        <color rgb="FF000000"/>
        <rFont val="Arial"/>
      </rPr>
      <t xml:space="preserve">IncomeA - APS Allocation Payment - Additional revenue received that was not budgeted due to APS adjustments and charter supplements
B - </t>
    </r>
    <r>
      <rPr>
        <b/>
        <sz val="11"/>
        <color rgb="FF980000"/>
        <rFont val="Arial"/>
      </rPr>
      <t>NEW</t>
    </r>
    <r>
      <rPr>
        <sz val="11"/>
        <color rgb="FF000000"/>
        <rFont val="Arial"/>
      </rPr>
      <t xml:space="preserve"> - Local/State funding - Federal facility grant and APS supplement for nursing and transportation not budgeted for
C - Grants - CARES - Delay in timing of receipt of FY23 funds 
D - DoE Nutrition Grant - Delayed FY23 payments received.  Delay due to fraud correction and issues with GaDoE payments being sent to incorrect address
E - Contributions &amp; Fundraising - Funds received lower than anticipated
F - </t>
    </r>
    <r>
      <rPr>
        <b/>
        <sz val="11"/>
        <color rgb="FF980000"/>
        <rFont val="Arial"/>
      </rPr>
      <t>NEW</t>
    </r>
    <r>
      <rPr>
        <sz val="11"/>
        <color rgb="FF000000"/>
        <rFont val="Arial"/>
      </rPr>
      <t xml:space="preserve"> - Program Income - More field trip revenue received than anticipated
G - Nutrition Income - More funds anticipated for this time period
H - MACAL - More revenues than anticipated due to additional fees from two (2) new schools and more games
I - Other Income - Receipt of refunds for (Amazon, ODP) and COBRA payments received more than budgeted for; CREATE reimbursement from previous fiscal year ($46k) not budgeted
J -  Interest/Dividend Income - Revenues from money market earnings not budgeted for
</t>
    </r>
    <r>
      <rPr>
        <b/>
        <sz val="11"/>
        <color rgb="FF000000"/>
        <rFont val="Arial"/>
      </rPr>
      <t xml:space="preserve">Expenditures
</t>
    </r>
    <r>
      <rPr>
        <sz val="11"/>
        <color rgb="FF000000"/>
        <rFont val="Arial"/>
      </rPr>
      <t xml:space="preserve">K - Salaries &amp; Benefits - Bonus/retention stipend paid out, increase in payroll taxes due to bonuses, salary adjustments due to position changes all of which were not budgeted for
L - </t>
    </r>
    <r>
      <rPr>
        <b/>
        <sz val="11"/>
        <color rgb="FF980000"/>
        <rFont val="Arial"/>
      </rPr>
      <t>NEW</t>
    </r>
    <r>
      <rPr>
        <sz val="11"/>
        <color rgb="FF000000"/>
        <rFont val="Arial"/>
      </rPr>
      <t xml:space="preserve"> - Program Expenses - Higher expenses due to field and grade trips related expenses
M - </t>
    </r>
    <r>
      <rPr>
        <b/>
        <sz val="11"/>
        <color rgb="FF980000"/>
        <rFont val="Arial"/>
      </rPr>
      <t>NEW</t>
    </r>
    <r>
      <rPr>
        <sz val="11"/>
        <color rgb="FF000000"/>
        <rFont val="Arial"/>
      </rPr>
      <t xml:space="preserve"> - Buildings &amp; Grounds - Increase due to gravel removal/paver installation at MC, utility costs, HVAC repair and previous facility projects related to safety and security.
N  -  Professional Services - Overrun due to FY23 tax/auditing services being invoiced late ($9k), FY23 land acquisition feasibility study ($30,750), FY23 land acquisition legal fees ($8k), headhunter fee ($13k) and strategic planning fee not budgeted for ($15k)
O - Gen &amp; Admin - Overrun due to subscriptions being paid earlier than planned 
P - MACAL - Overrun due to referees, increased staffing due to additional games and large attendance (ticket takers and security) and facility fees not budgeted for
</t>
    </r>
  </si>
  <si>
    <t xml:space="preserve">Total investments held by ANCS </t>
  </si>
  <si>
    <t>Prior Year</t>
  </si>
  <si>
    <t>HISTORICAL BALANCES - FOR REFERENCE ONLY</t>
  </si>
  <si>
    <t>Institution</t>
  </si>
  <si>
    <t xml:space="preserve">Investment </t>
  </si>
  <si>
    <t>Amount</t>
  </si>
  <si>
    <t>G/L Acct.</t>
  </si>
  <si>
    <t>Acct. Description</t>
  </si>
  <si>
    <t xml:space="preserve">South State Bank </t>
  </si>
  <si>
    <t>Operating accounts</t>
  </si>
  <si>
    <t>BONG - Aftercare EC</t>
  </si>
  <si>
    <t>Paypal</t>
  </si>
  <si>
    <t>Total Cash</t>
  </si>
  <si>
    <t>Bank of North Georgia #8354 Operating</t>
  </si>
  <si>
    <t>Reserved - Cash Accounts</t>
  </si>
  <si>
    <t xml:space="preserve">2022 Audit Report </t>
  </si>
  <si>
    <t>Bank of North Georgia #6575 Nutrition</t>
  </si>
  <si>
    <t>Total unrestricted &amp; unreserved cash</t>
  </si>
  <si>
    <t>Cash on Hand</t>
  </si>
  <si>
    <t>South State Bank Operating</t>
  </si>
  <si>
    <t xml:space="preserve">Edward Jones </t>
  </si>
  <si>
    <t>Money Market</t>
  </si>
  <si>
    <t xml:space="preserve">South State Bank Nutrition </t>
  </si>
  <si>
    <t>Investments</t>
  </si>
  <si>
    <t>South State Bank PTCA</t>
  </si>
  <si>
    <t>Self-Help Credit Union</t>
  </si>
  <si>
    <t>CD</t>
  </si>
  <si>
    <t>matured 10/2023</t>
  </si>
  <si>
    <t>South State Bank MC Aftercare</t>
  </si>
  <si>
    <t>Self-Help Money Market CARA 80</t>
  </si>
  <si>
    <t>South State Bank Aftercare EC</t>
  </si>
  <si>
    <t>Total invested funds (not at SouthState)</t>
  </si>
  <si>
    <t>South State Bank Farm to School</t>
  </si>
  <si>
    <t>South State Bank Annual Fund</t>
  </si>
  <si>
    <t>Reserved - Certificates of deposit</t>
  </si>
  <si>
    <t>South State Nutrition</t>
  </si>
  <si>
    <t>Total unrestricted &amp; unreserved investments</t>
  </si>
  <si>
    <t>Edward Jones Ally Bank CD2</t>
  </si>
  <si>
    <t>Sun Trust Bank CD</t>
  </si>
  <si>
    <t>Grand total ANCS funds</t>
  </si>
  <si>
    <t>Self-Help Credit Union CD</t>
  </si>
  <si>
    <t>Edward Jones Money Market</t>
  </si>
  <si>
    <t>Edward Jones Ally Bank CD</t>
  </si>
  <si>
    <t>Edward Jones Morgan Stanley Bank CD</t>
  </si>
  <si>
    <t>Edward Jones State Bank of India CD</t>
  </si>
  <si>
    <t>Edward Jones BMO Harris Bank</t>
  </si>
  <si>
    <t>Edward Jones Stocks</t>
  </si>
  <si>
    <t>Beginning Balance</t>
  </si>
  <si>
    <t>July</t>
  </si>
  <si>
    <t>August</t>
  </si>
  <si>
    <t xml:space="preserve">September </t>
  </si>
  <si>
    <t>0ctober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</si>
  <si>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</si>
  <si>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</si>
  <si>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</si>
  <si>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</si>
  <si>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</si>
  <si>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>April</t>
  </si>
  <si>
    <t>May</t>
  </si>
  <si>
    <t>June</t>
  </si>
  <si>
    <t>Current Month vs. Prior Month</t>
  </si>
  <si>
    <t xml:space="preserve">Revenue </t>
  </si>
  <si>
    <t>Membership Fees</t>
  </si>
  <si>
    <t>Other  Deposit</t>
  </si>
  <si>
    <t>Special Event Income</t>
  </si>
  <si>
    <t xml:space="preserve">Expenses </t>
  </si>
  <si>
    <t xml:space="preserve">Stipends </t>
  </si>
  <si>
    <t>Contract Workers</t>
  </si>
  <si>
    <t xml:space="preserve">Yearbook </t>
  </si>
  <si>
    <t xml:space="preserve">Staff Appreciation </t>
  </si>
  <si>
    <t xml:space="preserve">Athletics Program </t>
  </si>
  <si>
    <t>Event Costs</t>
  </si>
  <si>
    <t>PTCA Grants</t>
  </si>
  <si>
    <t>Office Supplies</t>
  </si>
  <si>
    <t xml:space="preserve">Hospitality </t>
  </si>
  <si>
    <t xml:space="preserve">Special Programs </t>
  </si>
  <si>
    <t>School Store Purchases</t>
  </si>
  <si>
    <t>Gen &amp; Admin Exp</t>
  </si>
  <si>
    <t>Grounds Maint.</t>
  </si>
  <si>
    <t>Farm Maint</t>
  </si>
  <si>
    <t>Gift/Prizes</t>
  </si>
  <si>
    <t>Total Expense</t>
  </si>
  <si>
    <t xml:space="preserve">Ending Balance </t>
  </si>
  <si>
    <t>Salary - Detailed Components</t>
  </si>
  <si>
    <t>Acct. #</t>
  </si>
  <si>
    <t>October</t>
  </si>
  <si>
    <t xml:space="preserve">Salaries </t>
  </si>
  <si>
    <t>Aftercare</t>
  </si>
  <si>
    <t>6000.C</t>
  </si>
  <si>
    <t>Salaries - COVID</t>
  </si>
  <si>
    <t>Bonus</t>
  </si>
  <si>
    <t>Wellness Remb</t>
  </si>
  <si>
    <t>Garnishment</t>
  </si>
  <si>
    <t>Payroll Taxes</t>
  </si>
  <si>
    <t>Workers Comp</t>
  </si>
  <si>
    <t>Teacher Retirement System</t>
  </si>
  <si>
    <t>Health Insurance Premium</t>
  </si>
  <si>
    <t>Supplemental Insurance</t>
  </si>
  <si>
    <t>Contracted Personnel</t>
  </si>
  <si>
    <t>Leased Personnel</t>
  </si>
  <si>
    <t>Aftercare Salary</t>
  </si>
  <si>
    <t>Total per Actual</t>
  </si>
  <si>
    <t>`</t>
  </si>
  <si>
    <t>reserve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</si>
</sst>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[$-409]mmmm\ d\,\ yyyy"/>
    <numFmt numFmtId="170" formatCode="m/d"/>
    <numFmt numFmtId="171" formatCode="_(* #,##0.00_);_(* \(#,##0.00\);_(* &quot;-&quot;??.00_);_(@_)"/>
    <numFmt numFmtId="172" formatCode="mmmm\ d\,\ yyyy"/>
    <numFmt numFmtId="173" formatCode="_(&quot;$&quot;* #,##0.00_);_(&quot;$&quot;* \(#,##0.00\);_(&quot;$&quot;* &quot;-&quot;_);_(@_)"/>
  </numFmts>
  <fonts count="37">
    <font>
      <sz val="11"/>
      <color rgb="FF000000"/>
      <name val="Calibri"/>
      <scheme val="minor"/>
    </font>
    <font>
      <sz val="11"/>
      <color theme="1"/>
      <name val="Arial"/>
    </font>
    <font>
      <b/>
      <sz val="11"/>
      <color theme="1"/>
      <name val="Calibri"/>
    </font>
    <font>
      <sz val="11"/>
      <color rgb="FF3F3F76"/>
      <name val="Calibri"/>
    </font>
    <font>
      <b/>
      <sz val="11"/>
      <color rgb="FF3F3F76"/>
      <name val="Calibri"/>
    </font>
    <font>
      <sz val="11"/>
      <color theme="1"/>
      <name val="Calibri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color theme="1"/>
      <name val="Arial"/>
    </font>
    <font>
      <b/>
      <sz val="10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5B9BD5"/>
      <name val="Calibri"/>
    </font>
    <font>
      <b/>
      <sz val="12"/>
      <color rgb="FFFF0000"/>
      <name val="Calibri"/>
    </font>
    <font>
      <b/>
      <sz val="10"/>
      <color rgb="FF006100"/>
      <name val="Calibri"/>
    </font>
    <font>
      <b/>
      <sz val="12"/>
      <color rgb="FF7030A0"/>
      <name val="Calibri"/>
    </font>
    <font>
      <b/>
      <sz val="12"/>
      <color rgb="FF70AD47"/>
      <name val="Calibri"/>
    </font>
    <font>
      <b/>
      <sz val="10"/>
      <color rgb="FF9C0006"/>
      <name val="Calibri"/>
    </font>
    <font>
      <i/>
      <sz val="10"/>
      <color rgb="FF000000"/>
      <name val="Calibri"/>
    </font>
    <font>
      <sz val="10"/>
      <color theme="1"/>
      <name val="Calibri"/>
    </font>
    <font>
      <b/>
      <sz val="10"/>
      <color rgb="FF5B9BD5"/>
      <name val="Calibri"/>
    </font>
    <font>
      <u/>
      <sz val="11"/>
      <color rgb="FF0563C1"/>
      <name val="Calibri"/>
    </font>
    <font>
      <b/>
      <u/>
      <sz val="11"/>
      <color rgb="FF000000"/>
      <name val="Calibri"/>
    </font>
    <font>
      <sz val="12"/>
      <color rgb="FF000000"/>
      <name val="Calibri"/>
    </font>
    <font>
      <sz val="12"/>
      <color rgb="FF1F1F1F"/>
      <name val="Arial"/>
    </font>
    <font>
      <sz val="11"/>
      <color rgb="FF000000"/>
      <name val="Arial"/>
    </font>
    <font>
      <sz val="14"/>
      <color rgb="FF000000"/>
      <name val="Calibri"/>
    </font>
    <font>
      <b/>
      <sz val="14"/>
      <color rgb="FF000000"/>
      <name val="Calibri"/>
    </font>
    <font>
      <b/>
      <sz val="10"/>
      <color rgb="FFFF0000"/>
      <name val="Calibri (Body)_x0000_"/>
    </font>
    <font>
      <b/>
      <i/>
      <sz val="10"/>
      <color rgb="FFFF0000"/>
      <name val="Calibri (Body)_x0000_"/>
    </font>
    <font>
      <u/>
      <sz val="11"/>
      <color rgb="FF000000"/>
      <name val="Calibri (Body)_x0000_"/>
    </font>
    <font>
      <b/>
      <sz val="11"/>
      <color rgb="FF000000"/>
      <name val="Arial"/>
    </font>
    <font>
      <b/>
      <sz val="11"/>
      <color rgb="FF980000"/>
      <name val="Arial"/>
    </font>
  </fonts>
  <fills count="2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C0D9"/>
        <bgColor rgb="FFCCC0D9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0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B7B7B7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8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164" fontId="1" fillId="0" borderId="0" xfId="0" applyNumberFormat="1" applyFont="1"/>
    <xf numFmtId="0" fontId="1" fillId="0" borderId="4" xfId="0" applyFont="1" applyBorder="1"/>
    <xf numFmtId="0" fontId="2" fillId="0" borderId="5" xfId="0" applyFont="1" applyBorder="1"/>
    <xf numFmtId="165" fontId="2" fillId="2" borderId="5" xfId="0" applyNumberFormat="1" applyFont="1" applyFill="1" applyBorder="1" applyAlignment="1">
      <alignment horizontal="center"/>
    </xf>
    <xf numFmtId="17" fontId="1" fillId="0" borderId="0" xfId="0" applyNumberFormat="1" applyFont="1"/>
    <xf numFmtId="0" fontId="2" fillId="2" borderId="5" xfId="0" applyFont="1" applyFill="1" applyBorder="1" applyAlignment="1">
      <alignment horizontal="center"/>
    </xf>
    <xf numFmtId="165" fontId="1" fillId="0" borderId="0" xfId="0" applyNumberFormat="1" applyFont="1"/>
    <xf numFmtId="0" fontId="1" fillId="0" borderId="6" xfId="0" applyFont="1" applyBorder="1"/>
    <xf numFmtId="164" fontId="1" fillId="0" borderId="6" xfId="0" applyNumberFormat="1" applyFont="1" applyBorder="1"/>
    <xf numFmtId="0" fontId="2" fillId="0" borderId="0" xfId="0" applyFont="1"/>
    <xf numFmtId="0" fontId="1" fillId="0" borderId="7" xfId="0" applyFont="1" applyBorder="1"/>
    <xf numFmtId="0" fontId="3" fillId="3" borderId="8" xfId="0" applyFont="1" applyFill="1" applyBorder="1" applyAlignment="1">
      <alignment horizontal="right"/>
    </xf>
    <xf numFmtId="38" fontId="4" fillId="3" borderId="9" xfId="0" applyNumberFormat="1" applyFont="1" applyFill="1" applyBorder="1" applyAlignment="1">
      <alignment horizontal="center"/>
    </xf>
    <xf numFmtId="0" fontId="1" fillId="3" borderId="9" xfId="0" applyFont="1" applyFill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0" fontId="1" fillId="0" borderId="10" xfId="0" applyFont="1" applyBorder="1"/>
    <xf numFmtId="165" fontId="1" fillId="0" borderId="10" xfId="0" applyNumberFormat="1" applyFont="1" applyBorder="1"/>
    <xf numFmtId="164" fontId="1" fillId="0" borderId="11" xfId="0" applyNumberFormat="1" applyFont="1" applyBorder="1"/>
    <xf numFmtId="164" fontId="2" fillId="0" borderId="11" xfId="0" applyNumberFormat="1" applyFont="1" applyBorder="1" applyAlignment="1">
      <alignment horizontal="center"/>
    </xf>
    <xf numFmtId="0" fontId="2" fillId="4" borderId="0" xfId="0" applyFont="1" applyFill="1"/>
    <xf numFmtId="165" fontId="2" fillId="4" borderId="0" xfId="0" applyNumberFormat="1" applyFont="1" applyFill="1" applyAlignment="1">
      <alignment horizontal="center"/>
    </xf>
    <xf numFmtId="0" fontId="1" fillId="4" borderId="0" xfId="0" applyFont="1" applyFill="1"/>
    <xf numFmtId="165" fontId="1" fillId="4" borderId="0" xfId="0" applyNumberFormat="1" applyFont="1" applyFill="1"/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164" fontId="5" fillId="0" borderId="2" xfId="0" applyNumberFormat="1" applyFont="1" applyBorder="1" applyAlignment="1">
      <alignment horizontal="right"/>
    </xf>
    <xf numFmtId="0" fontId="1" fillId="5" borderId="0" xfId="0" applyFont="1" applyFill="1"/>
    <xf numFmtId="165" fontId="6" fillId="5" borderId="4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164" fontId="2" fillId="5" borderId="2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  <xf numFmtId="0" fontId="5" fillId="0" borderId="2" xfId="0" applyFont="1" applyBorder="1"/>
    <xf numFmtId="0" fontId="1" fillId="6" borderId="0" xfId="0" applyFont="1" applyFill="1"/>
    <xf numFmtId="165" fontId="8" fillId="6" borderId="4" xfId="0" applyNumberFormat="1" applyFont="1" applyFill="1" applyBorder="1" applyAlignment="1">
      <alignment horizontal="center"/>
    </xf>
    <xf numFmtId="0" fontId="2" fillId="6" borderId="3" xfId="0" applyFont="1" applyFill="1" applyBorder="1"/>
    <xf numFmtId="0" fontId="1" fillId="6" borderId="2" xfId="0" applyFont="1" applyFill="1" applyBorder="1"/>
    <xf numFmtId="0" fontId="1" fillId="6" borderId="1" xfId="0" applyFont="1" applyFill="1" applyBorder="1"/>
    <xf numFmtId="164" fontId="2" fillId="6" borderId="2" xfId="0" applyNumberFormat="1" applyFont="1" applyFill="1" applyBorder="1" applyAlignment="1">
      <alignment horizontal="right"/>
    </xf>
    <xf numFmtId="0" fontId="1" fillId="6" borderId="3" xfId="0" applyFont="1" applyFill="1" applyBorder="1"/>
    <xf numFmtId="165" fontId="9" fillId="6" borderId="5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2" xfId="0" applyFont="1" applyFill="1" applyBorder="1"/>
    <xf numFmtId="0" fontId="2" fillId="4" borderId="10" xfId="0" applyFont="1" applyFill="1" applyBorder="1"/>
    <xf numFmtId="0" fontId="1" fillId="4" borderId="11" xfId="0" applyFont="1" applyFill="1" applyBorder="1"/>
    <xf numFmtId="0" fontId="1" fillId="4" borderId="1" xfId="0" applyFont="1" applyFill="1" applyBorder="1"/>
    <xf numFmtId="164" fontId="2" fillId="4" borderId="11" xfId="0" applyNumberFormat="1" applyFont="1" applyFill="1" applyBorder="1" applyAlignment="1">
      <alignment horizontal="right"/>
    </xf>
    <xf numFmtId="0" fontId="1" fillId="0" borderId="13" xfId="0" applyFont="1" applyBorder="1"/>
    <xf numFmtId="164" fontId="1" fillId="0" borderId="13" xfId="0" applyNumberFormat="1" applyFont="1" applyBorder="1"/>
    <xf numFmtId="0" fontId="2" fillId="3" borderId="0" xfId="0" applyFont="1" applyFill="1"/>
    <xf numFmtId="165" fontId="1" fillId="3" borderId="0" xfId="0" applyNumberFormat="1" applyFont="1" applyFill="1"/>
    <xf numFmtId="3" fontId="5" fillId="0" borderId="14" xfId="0" applyNumberFormat="1" applyFont="1" applyBorder="1"/>
    <xf numFmtId="164" fontId="2" fillId="0" borderId="0" xfId="0" applyNumberFormat="1" applyFont="1" applyAlignment="1">
      <alignment horizontal="right"/>
    </xf>
    <xf numFmtId="0" fontId="1" fillId="0" borderId="14" xfId="0" applyFont="1" applyBorder="1"/>
    <xf numFmtId="164" fontId="2" fillId="0" borderId="14" xfId="0" applyNumberFormat="1" applyFont="1" applyBorder="1" applyAlignment="1">
      <alignment horizontal="right"/>
    </xf>
    <xf numFmtId="0" fontId="1" fillId="3" borderId="0" xfId="0" applyFont="1" applyFill="1"/>
    <xf numFmtId="0" fontId="5" fillId="0" borderId="14" xfId="0" applyFont="1" applyBorder="1"/>
    <xf numFmtId="164" fontId="5" fillId="0" borderId="0" xfId="0" applyNumberFormat="1" applyFont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5" fontId="10" fillId="3" borderId="0" xfId="0" applyNumberFormat="1" applyFont="1" applyFill="1" applyAlignment="1">
      <alignment horizontal="center"/>
    </xf>
    <xf numFmtId="0" fontId="1" fillId="3" borderId="4" xfId="0" applyFont="1" applyFill="1" applyBorder="1"/>
    <xf numFmtId="164" fontId="2" fillId="3" borderId="2" xfId="0" applyNumberFormat="1" applyFont="1" applyFill="1" applyBorder="1" applyAlignment="1">
      <alignment horizontal="right"/>
    </xf>
    <xf numFmtId="164" fontId="1" fillId="3" borderId="5" xfId="0" applyNumberFormat="1" applyFont="1" applyFill="1" applyBorder="1"/>
    <xf numFmtId="0" fontId="1" fillId="3" borderId="14" xfId="0" applyFont="1" applyFill="1" applyBorder="1"/>
    <xf numFmtId="164" fontId="2" fillId="3" borderId="15" xfId="0" applyNumberFormat="1" applyFont="1" applyFill="1" applyBorder="1" applyAlignment="1">
      <alignment horizontal="right"/>
    </xf>
    <xf numFmtId="0" fontId="1" fillId="0" borderId="15" xfId="0" applyFont="1" applyBorder="1"/>
    <xf numFmtId="164" fontId="1" fillId="0" borderId="3" xfId="0" applyNumberFormat="1" applyFont="1" applyBorder="1"/>
    <xf numFmtId="164" fontId="1" fillId="0" borderId="15" xfId="0" applyNumberFormat="1" applyFont="1" applyBorder="1"/>
    <xf numFmtId="164" fontId="1" fillId="3" borderId="1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0" fontId="2" fillId="9" borderId="14" xfId="0" applyFont="1" applyFill="1" applyBorder="1" applyAlignment="1">
      <alignment horizontal="right"/>
    </xf>
    <xf numFmtId="0" fontId="1" fillId="9" borderId="1" xfId="0" applyFont="1" applyFill="1" applyBorder="1"/>
    <xf numFmtId="164" fontId="2" fillId="9" borderId="1" xfId="0" applyNumberFormat="1" applyFont="1" applyFill="1" applyBorder="1" applyAlignment="1">
      <alignment horizontal="right"/>
    </xf>
    <xf numFmtId="164" fontId="2" fillId="9" borderId="2" xfId="0" applyNumberFormat="1" applyFont="1" applyFill="1" applyBorder="1" applyAlignment="1">
      <alignment horizontal="right"/>
    </xf>
    <xf numFmtId="0" fontId="1" fillId="9" borderId="14" xfId="0" applyFont="1" applyFill="1" applyBorder="1"/>
    <xf numFmtId="0" fontId="2" fillId="10" borderId="14" xfId="0" applyFont="1" applyFill="1" applyBorder="1" applyAlignment="1">
      <alignment horizontal="right"/>
    </xf>
    <xf numFmtId="0" fontId="1" fillId="10" borderId="1" xfId="0" applyFont="1" applyFill="1" applyBorder="1"/>
    <xf numFmtId="164" fontId="2" fillId="10" borderId="11" xfId="0" applyNumberFormat="1" applyFont="1" applyFill="1" applyBorder="1" applyAlignment="1">
      <alignment horizontal="right"/>
    </xf>
    <xf numFmtId="0" fontId="1" fillId="10" borderId="14" xfId="0" applyFont="1" applyFill="1" applyBorder="1"/>
    <xf numFmtId="0" fontId="1" fillId="3" borderId="1" xfId="0" applyFont="1" applyFill="1" applyBorder="1"/>
    <xf numFmtId="164" fontId="2" fillId="3" borderId="11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right"/>
    </xf>
    <xf numFmtId="43" fontId="1" fillId="0" borderId="11" xfId="0" applyNumberFormat="1" applyFont="1" applyBorder="1"/>
    <xf numFmtId="43" fontId="2" fillId="0" borderId="11" xfId="0" applyNumberFormat="1" applyFont="1" applyBorder="1" applyAlignment="1">
      <alignment horizontal="right"/>
    </xf>
    <xf numFmtId="3" fontId="1" fillId="0" borderId="1" xfId="0" applyNumberFormat="1" applyFont="1" applyBorder="1"/>
    <xf numFmtId="43" fontId="2" fillId="0" borderId="2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2" fillId="11" borderId="14" xfId="0" applyFont="1" applyFill="1" applyBorder="1" applyAlignment="1">
      <alignment horizontal="right"/>
    </xf>
    <xf numFmtId="0" fontId="1" fillId="11" borderId="1" xfId="0" applyFont="1" applyFill="1" applyBorder="1"/>
    <xf numFmtId="164" fontId="1" fillId="11" borderId="1" xfId="0" applyNumberFormat="1" applyFont="1" applyFill="1" applyBorder="1"/>
    <xf numFmtId="0" fontId="1" fillId="11" borderId="14" xfId="0" applyFont="1" applyFill="1" applyBorder="1"/>
    <xf numFmtId="164" fontId="2" fillId="11" borderId="14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14" xfId="0" applyNumberFormat="1" applyFont="1" applyBorder="1"/>
    <xf numFmtId="0" fontId="2" fillId="7" borderId="14" xfId="0" applyFont="1" applyFill="1" applyBorder="1" applyAlignment="1">
      <alignment horizontal="right"/>
    </xf>
    <xf numFmtId="0" fontId="1" fillId="7" borderId="0" xfId="0" applyFont="1" applyFill="1"/>
    <xf numFmtId="164" fontId="1" fillId="7" borderId="0" xfId="0" applyNumberFormat="1" applyFont="1" applyFill="1"/>
    <xf numFmtId="0" fontId="1" fillId="7" borderId="14" xfId="0" applyFont="1" applyFill="1" applyBorder="1"/>
    <xf numFmtId="164" fontId="2" fillId="7" borderId="14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3" fontId="1" fillId="11" borderId="0" xfId="0" applyNumberFormat="1" applyFont="1" applyFill="1"/>
    <xf numFmtId="0" fontId="1" fillId="8" borderId="1" xfId="0" applyFont="1" applyFill="1" applyBorder="1"/>
    <xf numFmtId="164" fontId="2" fillId="8" borderId="2" xfId="0" applyNumberFormat="1" applyFont="1" applyFill="1" applyBorder="1" applyAlignment="1">
      <alignment horizontal="right"/>
    </xf>
    <xf numFmtId="0" fontId="1" fillId="8" borderId="14" xfId="0" applyFont="1" applyFill="1" applyBorder="1"/>
    <xf numFmtId="164" fontId="2" fillId="8" borderId="15" xfId="0" applyNumberFormat="1" applyFont="1" applyFill="1" applyBorder="1" applyAlignment="1">
      <alignment horizontal="right"/>
    </xf>
    <xf numFmtId="0" fontId="5" fillId="0" borderId="0" xfId="0" applyFont="1"/>
    <xf numFmtId="164" fontId="2" fillId="0" borderId="15" xfId="0" applyNumberFormat="1" applyFont="1" applyBorder="1" applyAlignment="1">
      <alignment horizontal="right"/>
    </xf>
    <xf numFmtId="44" fontId="1" fillId="3" borderId="1" xfId="0" applyNumberFormat="1" applyFont="1" applyFill="1" applyBorder="1"/>
    <xf numFmtId="0" fontId="1" fillId="3" borderId="10" xfId="0" applyFont="1" applyFill="1" applyBorder="1"/>
    <xf numFmtId="165" fontId="1" fillId="3" borderId="16" xfId="0" applyNumberFormat="1" applyFont="1" applyFill="1" applyBorder="1"/>
    <xf numFmtId="0" fontId="1" fillId="3" borderId="17" xfId="0" applyFont="1" applyFill="1" applyBorder="1"/>
    <xf numFmtId="0" fontId="2" fillId="3" borderId="17" xfId="0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center"/>
    </xf>
    <xf numFmtId="164" fontId="1" fillId="0" borderId="18" xfId="0" applyNumberFormat="1" applyFont="1" applyBorder="1"/>
    <xf numFmtId="0" fontId="1" fillId="0" borderId="17" xfId="0" applyFont="1" applyBorder="1"/>
    <xf numFmtId="164" fontId="1" fillId="0" borderId="17" xfId="0" applyNumberFormat="1" applyFont="1" applyBorder="1"/>
    <xf numFmtId="0" fontId="2" fillId="0" borderId="17" xfId="0" applyFont="1" applyBorder="1"/>
    <xf numFmtId="164" fontId="2" fillId="3" borderId="17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2" fillId="12" borderId="19" xfId="0" applyFont="1" applyFill="1" applyBorder="1"/>
    <xf numFmtId="0" fontId="13" fillId="12" borderId="19" xfId="0" applyFont="1" applyFill="1" applyBorder="1"/>
    <xf numFmtId="164" fontId="13" fillId="12" borderId="19" xfId="0" applyNumberFormat="1" applyFont="1" applyFill="1" applyBorder="1"/>
    <xf numFmtId="43" fontId="13" fillId="12" borderId="19" xfId="0" applyNumberFormat="1" applyFont="1" applyFill="1" applyBorder="1"/>
    <xf numFmtId="164" fontId="14" fillId="0" borderId="0" xfId="0" applyNumberFormat="1" applyFont="1"/>
    <xf numFmtId="0" fontId="15" fillId="0" borderId="3" xfId="0" applyFont="1" applyBorder="1" applyAlignment="1">
      <alignment horizontal="center"/>
    </xf>
    <xf numFmtId="0" fontId="14" fillId="0" borderId="3" xfId="0" applyFont="1" applyBorder="1"/>
    <xf numFmtId="166" fontId="12" fillId="12" borderId="20" xfId="0" applyNumberFormat="1" applyFont="1" applyFill="1" applyBorder="1"/>
    <xf numFmtId="166" fontId="13" fillId="12" borderId="19" xfId="0" applyNumberFormat="1" applyFont="1" applyFill="1" applyBorder="1"/>
    <xf numFmtId="42" fontId="13" fillId="12" borderId="19" xfId="0" applyNumberFormat="1" applyFont="1" applyFill="1" applyBorder="1"/>
    <xf numFmtId="0" fontId="12" fillId="12" borderId="19" xfId="0" applyFont="1" applyFill="1" applyBorder="1" applyAlignment="1">
      <alignment horizontal="center"/>
    </xf>
    <xf numFmtId="0" fontId="13" fillId="12" borderId="24" xfId="0" applyFont="1" applyFill="1" applyBorder="1"/>
    <xf numFmtId="0" fontId="13" fillId="12" borderId="25" xfId="0" applyFont="1" applyFill="1" applyBorder="1"/>
    <xf numFmtId="0" fontId="12" fillId="13" borderId="26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164" fontId="12" fillId="14" borderId="26" xfId="0" applyNumberFormat="1" applyFont="1" applyFill="1" applyBorder="1" applyAlignment="1">
      <alignment horizontal="center"/>
    </xf>
    <xf numFmtId="0" fontId="12" fillId="15" borderId="26" xfId="0" applyFont="1" applyFill="1" applyBorder="1" applyAlignment="1">
      <alignment horizontal="center"/>
    </xf>
    <xf numFmtId="17" fontId="12" fillId="12" borderId="27" xfId="0" applyNumberFormat="1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164" fontId="12" fillId="14" borderId="28" xfId="0" applyNumberFormat="1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/>
    </xf>
    <xf numFmtId="17" fontId="12" fillId="15" borderId="28" xfId="0" applyNumberFormat="1" applyFont="1" applyFill="1" applyBorder="1" applyAlignment="1">
      <alignment horizontal="center"/>
    </xf>
    <xf numFmtId="41" fontId="13" fillId="0" borderId="29" xfId="0" applyNumberFormat="1" applyFont="1" applyBorder="1"/>
    <xf numFmtId="164" fontId="12" fillId="13" borderId="30" xfId="0" applyNumberFormat="1" applyFont="1" applyFill="1" applyBorder="1"/>
    <xf numFmtId="0" fontId="13" fillId="12" borderId="27" xfId="0" applyFont="1" applyFill="1" applyBorder="1" applyAlignment="1">
      <alignment horizontal="center"/>
    </xf>
    <xf numFmtId="164" fontId="12" fillId="14" borderId="31" xfId="0" applyNumberFormat="1" applyFont="1" applyFill="1" applyBorder="1"/>
    <xf numFmtId="0" fontId="12" fillId="15" borderId="31" xfId="0" applyFont="1" applyFill="1" applyBorder="1"/>
    <xf numFmtId="0" fontId="13" fillId="15" borderId="27" xfId="0" applyFont="1" applyFill="1" applyBorder="1"/>
    <xf numFmtId="44" fontId="13" fillId="0" borderId="29" xfId="0" applyNumberFormat="1" applyFont="1" applyBorder="1" applyAlignment="1">
      <alignment horizontal="right"/>
    </xf>
    <xf numFmtId="42" fontId="13" fillId="0" borderId="4" xfId="0" applyNumberFormat="1" applyFont="1" applyBorder="1" applyAlignment="1">
      <alignment horizontal="right"/>
    </xf>
    <xf numFmtId="42" fontId="12" fillId="13" borderId="30" xfId="0" applyNumberFormat="1" applyFont="1" applyFill="1" applyBorder="1"/>
    <xf numFmtId="42" fontId="13" fillId="12" borderId="31" xfId="0" applyNumberFormat="1" applyFont="1" applyFill="1" applyBorder="1" applyAlignment="1">
      <alignment vertical="center"/>
    </xf>
    <xf numFmtId="42" fontId="12" fillId="14" borderId="31" xfId="0" applyNumberFormat="1" applyFont="1" applyFill="1" applyBorder="1"/>
    <xf numFmtId="42" fontId="16" fillId="0" borderId="0" xfId="0" applyNumberFormat="1" applyFont="1" applyAlignment="1">
      <alignment horizontal="center" vertical="center"/>
    </xf>
    <xf numFmtId="42" fontId="12" fillId="15" borderId="31" xfId="0" applyNumberFormat="1" applyFont="1" applyFill="1" applyBorder="1"/>
    <xf numFmtId="10" fontId="12" fillId="15" borderId="31" xfId="0" applyNumberFormat="1" applyFont="1" applyFill="1" applyBorder="1"/>
    <xf numFmtId="41" fontId="12" fillId="13" borderId="30" xfId="0" applyNumberFormat="1" applyFont="1" applyFill="1" applyBorder="1"/>
    <xf numFmtId="41" fontId="13" fillId="12" borderId="31" xfId="0" applyNumberFormat="1" applyFont="1" applyFill="1" applyBorder="1" applyAlignment="1">
      <alignment vertical="center"/>
    </xf>
    <xf numFmtId="41" fontId="13" fillId="12" borderId="19" xfId="0" applyNumberFormat="1" applyFont="1" applyFill="1" applyBorder="1"/>
    <xf numFmtId="41" fontId="12" fillId="14" borderId="31" xfId="0" applyNumberFormat="1" applyFont="1" applyFill="1" applyBorder="1"/>
    <xf numFmtId="41" fontId="16" fillId="0" borderId="0" xfId="0" applyNumberFormat="1" applyFont="1" applyAlignment="1">
      <alignment horizontal="center" vertical="center"/>
    </xf>
    <xf numFmtId="41" fontId="12" fillId="15" borderId="31" xfId="0" applyNumberFormat="1" applyFont="1" applyFill="1" applyBorder="1"/>
    <xf numFmtId="164" fontId="13" fillId="0" borderId="29" xfId="0" applyNumberFormat="1" applyFont="1" applyBorder="1" applyAlignment="1">
      <alignment horizontal="right"/>
    </xf>
    <xf numFmtId="41" fontId="13" fillId="12" borderId="31" xfId="0" applyNumberFormat="1" applyFont="1" applyFill="1" applyBorder="1"/>
    <xf numFmtId="41" fontId="17" fillId="0" borderId="0" xfId="0" applyNumberFormat="1" applyFont="1" applyAlignment="1">
      <alignment horizontal="center" vertical="center"/>
    </xf>
    <xf numFmtId="42" fontId="13" fillId="0" borderId="29" xfId="0" applyNumberFormat="1" applyFont="1" applyBorder="1" applyAlignment="1">
      <alignment horizontal="right"/>
    </xf>
    <xf numFmtId="10" fontId="12" fillId="15" borderId="28" xfId="0" applyNumberFormat="1" applyFont="1" applyFill="1" applyBorder="1"/>
    <xf numFmtId="164" fontId="18" fillId="16" borderId="26" xfId="0" applyNumberFormat="1" applyFont="1" applyFill="1" applyBorder="1"/>
    <xf numFmtId="164" fontId="12" fillId="13" borderId="26" xfId="0" applyNumberFormat="1" applyFont="1" applyFill="1" applyBorder="1"/>
    <xf numFmtId="164" fontId="12" fillId="14" borderId="26" xfId="0" applyNumberFormat="1" applyFont="1" applyFill="1" applyBorder="1"/>
    <xf numFmtId="164" fontId="12" fillId="15" borderId="26" xfId="0" applyNumberFormat="1" applyFont="1" applyFill="1" applyBorder="1"/>
    <xf numFmtId="5" fontId="12" fillId="15" borderId="26" xfId="0" applyNumberFormat="1" applyFont="1" applyFill="1" applyBorder="1"/>
    <xf numFmtId="10" fontId="12" fillId="15" borderId="26" xfId="0" applyNumberFormat="1" applyFont="1" applyFill="1" applyBorder="1"/>
    <xf numFmtId="0" fontId="15" fillId="0" borderId="0" xfId="0" applyFont="1"/>
    <xf numFmtId="0" fontId="12" fillId="0" borderId="0" xfId="0" applyFont="1"/>
    <xf numFmtId="42" fontId="13" fillId="12" borderId="32" xfId="0" applyNumberFormat="1" applyFont="1" applyFill="1" applyBorder="1"/>
    <xf numFmtId="0" fontId="13" fillId="12" borderId="33" xfId="0" applyFont="1" applyFill="1" applyBorder="1"/>
    <xf numFmtId="164" fontId="13" fillId="0" borderId="34" xfId="0" applyNumberFormat="1" applyFont="1" applyBorder="1" applyAlignment="1">
      <alignment horizontal="right"/>
    </xf>
    <xf numFmtId="164" fontId="13" fillId="0" borderId="35" xfId="0" applyNumberFormat="1" applyFont="1" applyBorder="1" applyAlignment="1">
      <alignment horizontal="right"/>
    </xf>
    <xf numFmtId="164" fontId="12" fillId="13" borderId="36" xfId="0" applyNumberFormat="1" applyFont="1" applyFill="1" applyBorder="1"/>
    <xf numFmtId="42" fontId="13" fillId="12" borderId="27" xfId="0" applyNumberFormat="1" applyFont="1" applyFill="1" applyBorder="1" applyAlignment="1">
      <alignment vertical="center"/>
    </xf>
    <xf numFmtId="164" fontId="12" fillId="14" borderId="27" xfId="0" applyNumberFormat="1" applyFont="1" applyFill="1" applyBorder="1"/>
    <xf numFmtId="0" fontId="19" fillId="0" borderId="0" xfId="0" applyFont="1" applyAlignment="1">
      <alignment horizontal="center" vertical="center"/>
    </xf>
    <xf numFmtId="164" fontId="12" fillId="15" borderId="27" xfId="0" applyNumberFormat="1" applyFont="1" applyFill="1" applyBorder="1"/>
    <xf numFmtId="5" fontId="12" fillId="15" borderId="27" xfId="0" applyNumberFormat="1" applyFont="1" applyFill="1" applyBorder="1"/>
    <xf numFmtId="167" fontId="13" fillId="0" borderId="29" xfId="0" applyNumberFormat="1" applyFont="1" applyBorder="1" applyAlignment="1">
      <alignment horizontal="right"/>
    </xf>
    <xf numFmtId="168" fontId="13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4" fontId="12" fillId="13" borderId="37" xfId="0" applyNumberFormat="1" applyFont="1" applyFill="1" applyBorder="1"/>
    <xf numFmtId="0" fontId="20" fillId="0" borderId="0" xfId="0" applyFont="1" applyAlignment="1">
      <alignment horizontal="center" vertical="center"/>
    </xf>
    <xf numFmtId="164" fontId="12" fillId="15" borderId="31" xfId="0" applyNumberFormat="1" applyFont="1" applyFill="1" applyBorder="1"/>
    <xf numFmtId="0" fontId="16" fillId="0" borderId="0" xfId="0" applyFont="1" applyAlignment="1">
      <alignment horizontal="center" vertical="center"/>
    </xf>
    <xf numFmtId="41" fontId="13" fillId="12" borderId="38" xfId="0" applyNumberFormat="1" applyFont="1" applyFill="1" applyBorder="1" applyAlignment="1">
      <alignment vertical="center"/>
    </xf>
    <xf numFmtId="41" fontId="13" fillId="12" borderId="28" xfId="0" applyNumberFormat="1" applyFont="1" applyFill="1" applyBorder="1" applyAlignment="1">
      <alignment vertical="center"/>
    </xf>
    <xf numFmtId="0" fontId="12" fillId="12" borderId="33" xfId="0" applyFont="1" applyFill="1" applyBorder="1"/>
    <xf numFmtId="164" fontId="21" fillId="17" borderId="39" xfId="0" applyNumberFormat="1" applyFont="1" applyFill="1" applyBorder="1" applyAlignment="1">
      <alignment horizontal="right"/>
    </xf>
    <xf numFmtId="164" fontId="12" fillId="13" borderId="40" xfId="0" applyNumberFormat="1" applyFont="1" applyFill="1" applyBorder="1"/>
    <xf numFmtId="164" fontId="21" fillId="17" borderId="28" xfId="0" applyNumberFormat="1" applyFont="1" applyFill="1" applyBorder="1"/>
    <xf numFmtId="42" fontId="13" fillId="12" borderId="41" xfId="0" applyNumberFormat="1" applyFont="1" applyFill="1" applyBorder="1"/>
    <xf numFmtId="5" fontId="12" fillId="0" borderId="0" xfId="0" applyNumberFormat="1" applyFont="1"/>
    <xf numFmtId="164" fontId="12" fillId="14" borderId="19" xfId="0" applyNumberFormat="1" applyFont="1" applyFill="1" applyBorder="1"/>
    <xf numFmtId="0" fontId="15" fillId="15" borderId="19" xfId="0" applyFont="1" applyFill="1" applyBorder="1"/>
    <xf numFmtId="0" fontId="12" fillId="12" borderId="19" xfId="0" applyFont="1" applyFill="1" applyBorder="1" applyAlignment="1">
      <alignment horizontal="left"/>
    </xf>
    <xf numFmtId="164" fontId="13" fillId="12" borderId="26" xfId="0" applyNumberFormat="1" applyFont="1" applyFill="1" applyBorder="1"/>
    <xf numFmtId="164" fontId="13" fillId="0" borderId="26" xfId="0" applyNumberFormat="1" applyFont="1" applyBorder="1"/>
    <xf numFmtId="0" fontId="13" fillId="0" borderId="0" xfId="0" applyFont="1"/>
    <xf numFmtId="164" fontId="12" fillId="0" borderId="26" xfId="0" applyNumberFormat="1" applyFont="1" applyBorder="1"/>
    <xf numFmtId="164" fontId="12" fillId="0" borderId="0" xfId="0" applyNumberFormat="1" applyFont="1"/>
    <xf numFmtId="0" fontId="13" fillId="12" borderId="19" xfId="0" applyFont="1" applyFill="1" applyBorder="1" applyAlignment="1">
      <alignment horizontal="right"/>
    </xf>
    <xf numFmtId="164" fontId="13" fillId="18" borderId="42" xfId="0" applyNumberFormat="1" applyFont="1" applyFill="1" applyBorder="1"/>
    <xf numFmtId="164" fontId="13" fillId="19" borderId="42" xfId="0" applyNumberFormat="1" applyFont="1" applyFill="1" applyBorder="1"/>
    <xf numFmtId="0" fontId="13" fillId="18" borderId="42" xfId="0" applyFont="1" applyFill="1" applyBorder="1" applyAlignment="1">
      <alignment horizontal="center"/>
    </xf>
    <xf numFmtId="0" fontId="13" fillId="19" borderId="42" xfId="0" applyFont="1" applyFill="1" applyBorder="1" applyAlignment="1">
      <alignment horizontal="center"/>
    </xf>
    <xf numFmtId="0" fontId="12" fillId="13" borderId="28" xfId="0" applyFont="1" applyFill="1" applyBorder="1"/>
    <xf numFmtId="164" fontId="12" fillId="14" borderId="28" xfId="0" applyNumberFormat="1" applyFont="1" applyFill="1" applyBorder="1"/>
    <xf numFmtId="0" fontId="12" fillId="15" borderId="26" xfId="0" applyFont="1" applyFill="1" applyBorder="1"/>
    <xf numFmtId="0" fontId="22" fillId="0" borderId="0" xfId="0" applyFont="1"/>
    <xf numFmtId="0" fontId="23" fillId="0" borderId="0" xfId="0" applyFont="1"/>
    <xf numFmtId="5" fontId="13" fillId="0" borderId="0" xfId="0" applyNumberFormat="1" applyFont="1"/>
    <xf numFmtId="0" fontId="24" fillId="0" borderId="0" xfId="0" applyFont="1"/>
    <xf numFmtId="7" fontId="13" fillId="12" borderId="19" xfId="0" applyNumberFormat="1" applyFont="1" applyFill="1" applyBorder="1"/>
    <xf numFmtId="14" fontId="12" fillId="12" borderId="19" xfId="0" applyNumberFormat="1" applyFont="1" applyFill="1" applyBorder="1" applyAlignment="1">
      <alignment horizontal="left"/>
    </xf>
    <xf numFmtId="169" fontId="12" fillId="12" borderId="19" xfId="0" applyNumberFormat="1" applyFont="1" applyFill="1" applyBorder="1" applyAlignment="1">
      <alignment horizontal="left"/>
    </xf>
    <xf numFmtId="0" fontId="12" fillId="18" borderId="2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8" borderId="28" xfId="0" applyFont="1" applyFill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18" borderId="31" xfId="0" applyFont="1" applyFill="1" applyBorder="1"/>
    <xf numFmtId="42" fontId="13" fillId="0" borderId="29" xfId="0" applyNumberFormat="1" applyFont="1" applyBorder="1"/>
    <xf numFmtId="164" fontId="12" fillId="18" borderId="31" xfId="0" applyNumberFormat="1" applyFont="1" applyFill="1" applyBorder="1"/>
    <xf numFmtId="42" fontId="13" fillId="0" borderId="43" xfId="0" applyNumberFormat="1" applyFont="1" applyBorder="1"/>
    <xf numFmtId="164" fontId="13" fillId="0" borderId="44" xfId="0" applyNumberFormat="1" applyFont="1" applyBorder="1"/>
    <xf numFmtId="164" fontId="13" fillId="0" borderId="29" xfId="0" applyNumberFormat="1" applyFont="1" applyBorder="1"/>
    <xf numFmtId="42" fontId="13" fillId="0" borderId="45" xfId="0" applyNumberFormat="1" applyFont="1" applyBorder="1"/>
    <xf numFmtId="164" fontId="13" fillId="0" borderId="46" xfId="0" applyNumberFormat="1" applyFont="1" applyBorder="1"/>
    <xf numFmtId="164" fontId="13" fillId="0" borderId="47" xfId="0" applyNumberFormat="1" applyFont="1" applyBorder="1"/>
    <xf numFmtId="41" fontId="13" fillId="0" borderId="47" xfId="0" applyNumberFormat="1" applyFont="1" applyBorder="1"/>
    <xf numFmtId="41" fontId="13" fillId="0" borderId="44" xfId="0" applyNumberFormat="1" applyFont="1" applyBorder="1"/>
    <xf numFmtId="42" fontId="13" fillId="0" borderId="48" xfId="0" applyNumberFormat="1" applyFont="1" applyBorder="1"/>
    <xf numFmtId="41" fontId="13" fillId="20" borderId="29" xfId="0" applyNumberFormat="1" applyFont="1" applyFill="1" applyBorder="1"/>
    <xf numFmtId="164" fontId="13" fillId="0" borderId="4" xfId="0" applyNumberFormat="1" applyFont="1" applyBorder="1"/>
    <xf numFmtId="164" fontId="12" fillId="21" borderId="26" xfId="0" applyNumberFormat="1" applyFont="1" applyFill="1" applyBorder="1"/>
    <xf numFmtId="164" fontId="12" fillId="18" borderId="49" xfId="0" applyNumberFormat="1" applyFont="1" applyFill="1" applyBorder="1"/>
    <xf numFmtId="164" fontId="13" fillId="0" borderId="0" xfId="0" applyNumberFormat="1" applyFont="1"/>
    <xf numFmtId="164" fontId="13" fillId="0" borderId="50" xfId="0" applyNumberFormat="1" applyFont="1" applyBorder="1"/>
    <xf numFmtId="42" fontId="13" fillId="0" borderId="51" xfId="0" applyNumberFormat="1" applyFont="1" applyBorder="1"/>
    <xf numFmtId="42" fontId="13" fillId="0" borderId="50" xfId="0" applyNumberFormat="1" applyFont="1" applyBorder="1"/>
    <xf numFmtId="42" fontId="13" fillId="0" borderId="34" xfId="0" applyNumberFormat="1" applyFont="1" applyBorder="1"/>
    <xf numFmtId="164" fontId="12" fillId="18" borderId="27" xfId="0" applyNumberFormat="1" applyFont="1" applyFill="1" applyBorder="1"/>
    <xf numFmtId="164" fontId="13" fillId="0" borderId="45" xfId="0" applyNumberFormat="1" applyFont="1" applyBorder="1"/>
    <xf numFmtId="42" fontId="13" fillId="0" borderId="52" xfId="0" applyNumberFormat="1" applyFont="1" applyBorder="1"/>
    <xf numFmtId="42" fontId="13" fillId="20" borderId="45" xfId="0" applyNumberFormat="1" applyFont="1" applyFill="1" applyBorder="1"/>
    <xf numFmtId="164" fontId="13" fillId="0" borderId="48" xfId="0" applyNumberFormat="1" applyFont="1" applyBorder="1"/>
    <xf numFmtId="42" fontId="13" fillId="20" borderId="29" xfId="0" applyNumberFormat="1" applyFont="1" applyFill="1" applyBorder="1"/>
    <xf numFmtId="164" fontId="13" fillId="20" borderId="29" xfId="0" applyNumberFormat="1" applyFont="1" applyFill="1" applyBorder="1" applyAlignment="1">
      <alignment horizontal="right"/>
    </xf>
    <xf numFmtId="43" fontId="14" fillId="0" borderId="0" xfId="0" applyNumberFormat="1" applyFont="1"/>
    <xf numFmtId="164" fontId="13" fillId="20" borderId="45" xfId="0" applyNumberFormat="1" applyFont="1" applyFill="1" applyBorder="1" applyAlignment="1">
      <alignment horizontal="right"/>
    </xf>
    <xf numFmtId="164" fontId="13" fillId="20" borderId="29" xfId="0" applyNumberFormat="1" applyFont="1" applyFill="1" applyBorder="1"/>
    <xf numFmtId="42" fontId="13" fillId="20" borderId="52" xfId="0" applyNumberFormat="1" applyFont="1" applyFill="1" applyBorder="1"/>
    <xf numFmtId="164" fontId="13" fillId="20" borderId="52" xfId="0" applyNumberFormat="1" applyFont="1" applyFill="1" applyBorder="1" applyAlignment="1">
      <alignment horizontal="right"/>
    </xf>
    <xf numFmtId="42" fontId="13" fillId="0" borderId="53" xfId="0" applyNumberFormat="1" applyFont="1" applyBorder="1"/>
    <xf numFmtId="42" fontId="13" fillId="0" borderId="4" xfId="0" applyNumberFormat="1" applyFont="1" applyBorder="1"/>
    <xf numFmtId="164" fontId="13" fillId="0" borderId="39" xfId="0" applyNumberFormat="1" applyFont="1" applyBorder="1"/>
    <xf numFmtId="42" fontId="13" fillId="0" borderId="5" xfId="0" applyNumberFormat="1" applyFont="1" applyBorder="1"/>
    <xf numFmtId="42" fontId="13" fillId="0" borderId="39" xfId="0" applyNumberFormat="1" applyFont="1" applyBorder="1"/>
    <xf numFmtId="164" fontId="12" fillId="17" borderId="28" xfId="0" applyNumberFormat="1" applyFont="1" applyFill="1" applyBorder="1"/>
    <xf numFmtId="166" fontId="13" fillId="0" borderId="0" xfId="0" applyNumberFormat="1" applyFont="1"/>
    <xf numFmtId="164" fontId="12" fillId="12" borderId="26" xfId="0" applyNumberFormat="1" applyFont="1" applyFill="1" applyBorder="1"/>
    <xf numFmtId="164" fontId="12" fillId="18" borderId="19" xfId="0" applyNumberFormat="1" applyFont="1" applyFill="1" applyBorder="1"/>
    <xf numFmtId="164" fontId="12" fillId="12" borderId="19" xfId="0" applyNumberFormat="1" applyFont="1" applyFill="1" applyBorder="1"/>
    <xf numFmtId="164" fontId="13" fillId="0" borderId="54" xfId="0" applyNumberFormat="1" applyFont="1" applyBorder="1"/>
    <xf numFmtId="164" fontId="13" fillId="0" borderId="55" xfId="0" applyNumberFormat="1" applyFont="1" applyBorder="1"/>
    <xf numFmtId="164" fontId="13" fillId="12" borderId="56" xfId="0" applyNumberFormat="1" applyFont="1" applyFill="1" applyBorder="1"/>
    <xf numFmtId="164" fontId="13" fillId="12" borderId="57" xfId="0" applyNumberFormat="1" applyFont="1" applyFill="1" applyBorder="1"/>
    <xf numFmtId="164" fontId="13" fillId="0" borderId="58" xfId="0" applyNumberFormat="1" applyFont="1" applyBorder="1"/>
    <xf numFmtId="164" fontId="13" fillId="12" borderId="30" xfId="0" applyNumberFormat="1" applyFont="1" applyFill="1" applyBorder="1"/>
    <xf numFmtId="164" fontId="13" fillId="12" borderId="59" xfId="0" applyNumberFormat="1" applyFont="1" applyFill="1" applyBorder="1"/>
    <xf numFmtId="164" fontId="12" fillId="18" borderId="60" xfId="0" applyNumberFormat="1" applyFont="1" applyFill="1" applyBorder="1"/>
    <xf numFmtId="164" fontId="12" fillId="19" borderId="26" xfId="0" applyNumberFormat="1" applyFont="1" applyFill="1" applyBorder="1"/>
    <xf numFmtId="42" fontId="13" fillId="22" borderId="26" xfId="0" applyNumberFormat="1" applyFont="1" applyFill="1" applyBorder="1" applyAlignment="1">
      <alignment horizontal="center"/>
    </xf>
    <xf numFmtId="42" fontId="13" fillId="22" borderId="61" xfId="0" applyNumberFormat="1" applyFont="1" applyFill="1" applyBorder="1" applyAlignment="1">
      <alignment horizontal="center"/>
    </xf>
    <xf numFmtId="42" fontId="13" fillId="22" borderId="42" xfId="0" applyNumberFormat="1" applyFont="1" applyFill="1" applyBorder="1" applyAlignment="1">
      <alignment horizontal="center"/>
    </xf>
    <xf numFmtId="0" fontId="14" fillId="12" borderId="19" xfId="0" applyFont="1" applyFill="1" applyBorder="1"/>
    <xf numFmtId="164" fontId="14" fillId="12" borderId="19" xfId="0" applyNumberFormat="1" applyFont="1" applyFill="1" applyBorder="1"/>
    <xf numFmtId="164" fontId="15" fillId="12" borderId="24" xfId="0" applyNumberFormat="1" applyFont="1" applyFill="1" applyBorder="1"/>
    <xf numFmtId="0" fontId="25" fillId="0" borderId="0" xfId="0" applyFont="1"/>
    <xf numFmtId="0" fontId="26" fillId="0" borderId="0" xfId="0" applyFont="1"/>
    <xf numFmtId="0" fontId="15" fillId="23" borderId="19" xfId="0" applyFont="1" applyFill="1" applyBorder="1" applyAlignment="1">
      <alignment horizontal="center"/>
    </xf>
    <xf numFmtId="0" fontId="27" fillId="0" borderId="0" xfId="0" applyFont="1"/>
    <xf numFmtId="0" fontId="5" fillId="8" borderId="0" xfId="0" applyFont="1" applyFill="1"/>
    <xf numFmtId="9" fontId="5" fillId="8" borderId="0" xfId="0" applyNumberFormat="1" applyFont="1" applyFill="1"/>
    <xf numFmtId="170" fontId="5" fillId="0" borderId="0" xfId="0" applyNumberFormat="1" applyFont="1"/>
    <xf numFmtId="9" fontId="5" fillId="0" borderId="0" xfId="0" applyNumberFormat="1" applyFont="1"/>
    <xf numFmtId="0" fontId="12" fillId="12" borderId="62" xfId="0" applyFont="1" applyFill="1" applyBorder="1"/>
    <xf numFmtId="0" fontId="24" fillId="12" borderId="62" xfId="0" applyFont="1" applyFill="1" applyBorder="1" applyAlignment="1">
      <alignment horizontal="center" vertical="center"/>
    </xf>
    <xf numFmtId="0" fontId="12" fillId="19" borderId="63" xfId="0" applyFont="1" applyFill="1" applyBorder="1" applyAlignment="1">
      <alignment horizontal="center"/>
    </xf>
    <xf numFmtId="0" fontId="12" fillId="12" borderId="63" xfId="0" applyFont="1" applyFill="1" applyBorder="1" applyAlignment="1">
      <alignment horizontal="center"/>
    </xf>
    <xf numFmtId="0" fontId="12" fillId="12" borderId="64" xfId="0" applyFont="1" applyFill="1" applyBorder="1"/>
    <xf numFmtId="0" fontId="12" fillId="12" borderId="64" xfId="0" applyFont="1" applyFill="1" applyBorder="1" applyAlignment="1">
      <alignment horizontal="center"/>
    </xf>
    <xf numFmtId="0" fontId="12" fillId="12" borderId="65" xfId="0" applyFont="1" applyFill="1" applyBorder="1" applyAlignment="1">
      <alignment horizontal="center"/>
    </xf>
    <xf numFmtId="0" fontId="12" fillId="18" borderId="66" xfId="0" applyFont="1" applyFill="1" applyBorder="1" applyAlignment="1">
      <alignment horizontal="center"/>
    </xf>
    <xf numFmtId="0" fontId="12" fillId="12" borderId="66" xfId="0" applyFont="1" applyFill="1" applyBorder="1" applyAlignment="1">
      <alignment horizontal="center"/>
    </xf>
    <xf numFmtId="0" fontId="12" fillId="19" borderId="67" xfId="0" applyFont="1" applyFill="1" applyBorder="1" applyAlignment="1">
      <alignment horizontal="center"/>
    </xf>
    <xf numFmtId="0" fontId="12" fillId="12" borderId="67" xfId="0" applyFont="1" applyFill="1" applyBorder="1" applyAlignment="1">
      <alignment horizontal="center"/>
    </xf>
    <xf numFmtId="0" fontId="12" fillId="12" borderId="62" xfId="0" applyFont="1" applyFill="1" applyBorder="1" applyAlignment="1">
      <alignment horizontal="center"/>
    </xf>
    <xf numFmtId="0" fontId="12" fillId="12" borderId="68" xfId="0" applyFont="1" applyFill="1" applyBorder="1" applyAlignment="1">
      <alignment horizontal="center"/>
    </xf>
    <xf numFmtId="0" fontId="12" fillId="18" borderId="69" xfId="0" applyFont="1" applyFill="1" applyBorder="1" applyAlignment="1">
      <alignment horizontal="center"/>
    </xf>
    <xf numFmtId="0" fontId="12" fillId="12" borderId="6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19" borderId="70" xfId="0" applyFont="1" applyFill="1" applyBorder="1" applyAlignment="1">
      <alignment horizontal="center"/>
    </xf>
    <xf numFmtId="0" fontId="13" fillId="12" borderId="63" xfId="0" applyFont="1" applyFill="1" applyBorder="1" applyAlignment="1">
      <alignment horizontal="center"/>
    </xf>
    <xf numFmtId="0" fontId="13" fillId="12" borderId="65" xfId="0" applyFont="1" applyFill="1" applyBorder="1"/>
    <xf numFmtId="5" fontId="13" fillId="12" borderId="63" xfId="0" applyNumberFormat="1" applyFont="1" applyFill="1" applyBorder="1"/>
    <xf numFmtId="0" fontId="13" fillId="12" borderId="64" xfId="0" applyFont="1" applyFill="1" applyBorder="1"/>
    <xf numFmtId="0" fontId="13" fillId="12" borderId="64" xfId="0" applyFont="1" applyFill="1" applyBorder="1" applyAlignment="1">
      <alignment horizontal="center"/>
    </xf>
    <xf numFmtId="0" fontId="13" fillId="18" borderId="71" xfId="0" applyFont="1" applyFill="1" applyBorder="1"/>
    <xf numFmtId="0" fontId="13" fillId="12" borderId="71" xfId="0" applyFont="1" applyFill="1" applyBorder="1"/>
    <xf numFmtId="0" fontId="13" fillId="12" borderId="71" xfId="0" applyFont="1" applyFill="1" applyBorder="1" applyAlignment="1">
      <alignment horizontal="center" vertical="center"/>
    </xf>
    <xf numFmtId="10" fontId="5" fillId="0" borderId="0" xfId="0" applyNumberFormat="1" applyFont="1"/>
    <xf numFmtId="42" fontId="13" fillId="0" borderId="72" xfId="0" applyNumberFormat="1" applyFont="1" applyBorder="1"/>
    <xf numFmtId="164" fontId="13" fillId="12" borderId="70" xfId="0" applyNumberFormat="1" applyFont="1" applyFill="1" applyBorder="1"/>
    <xf numFmtId="42" fontId="13" fillId="12" borderId="73" xfId="0" applyNumberFormat="1" applyFont="1" applyFill="1" applyBorder="1"/>
    <xf numFmtId="44" fontId="13" fillId="12" borderId="19" xfId="0" applyNumberFormat="1" applyFont="1" applyFill="1" applyBorder="1"/>
    <xf numFmtId="164" fontId="13" fillId="24" borderId="19" xfId="0" applyNumberFormat="1" applyFont="1" applyFill="1" applyBorder="1"/>
    <xf numFmtId="9" fontId="13" fillId="24" borderId="73" xfId="0" applyNumberFormat="1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164" fontId="13" fillId="18" borderId="71" xfId="0" applyNumberFormat="1" applyFont="1" applyFill="1" applyBorder="1"/>
    <xf numFmtId="9" fontId="13" fillId="12" borderId="71" xfId="0" applyNumberFormat="1" applyFont="1" applyFill="1" applyBorder="1" applyAlignment="1">
      <alignment horizontal="center"/>
    </xf>
    <xf numFmtId="0" fontId="24" fillId="12" borderId="71" xfId="0" applyFont="1" applyFill="1" applyBorder="1" applyAlignment="1">
      <alignment horizontal="center" vertical="center"/>
    </xf>
    <xf numFmtId="42" fontId="5" fillId="0" borderId="0" xfId="0" applyNumberFormat="1" applyFont="1"/>
    <xf numFmtId="164" fontId="13" fillId="25" borderId="19" xfId="0" applyNumberFormat="1" applyFont="1" applyFill="1" applyBorder="1"/>
    <xf numFmtId="9" fontId="13" fillId="25" borderId="73" xfId="0" applyNumberFormat="1" applyFont="1" applyFill="1" applyBorder="1" applyAlignment="1">
      <alignment horizontal="center" vertical="center"/>
    </xf>
    <xf numFmtId="41" fontId="13" fillId="0" borderId="72" xfId="0" applyNumberFormat="1" applyFont="1" applyBorder="1"/>
    <xf numFmtId="164" fontId="13" fillId="24" borderId="0" xfId="0" applyNumberFormat="1" applyFont="1" applyFill="1"/>
    <xf numFmtId="41" fontId="13" fillId="19" borderId="70" xfId="0" applyNumberFormat="1" applyFont="1" applyFill="1" applyBorder="1"/>
    <xf numFmtId="41" fontId="13" fillId="12" borderId="70" xfId="0" applyNumberFormat="1" applyFont="1" applyFill="1" applyBorder="1"/>
    <xf numFmtId="0" fontId="24" fillId="0" borderId="74" xfId="0" applyFont="1" applyBorder="1" applyAlignment="1">
      <alignment horizontal="center" vertical="center"/>
    </xf>
    <xf numFmtId="42" fontId="13" fillId="12" borderId="68" xfId="0" applyNumberFormat="1" applyFont="1" applyFill="1" applyBorder="1"/>
    <xf numFmtId="44" fontId="13" fillId="12" borderId="62" xfId="0" applyNumberFormat="1" applyFont="1" applyFill="1" applyBorder="1"/>
    <xf numFmtId="164" fontId="13" fillId="24" borderId="62" xfId="0" applyNumberFormat="1" applyFont="1" applyFill="1" applyBorder="1"/>
    <xf numFmtId="42" fontId="12" fillId="19" borderId="75" xfId="0" applyNumberFormat="1" applyFont="1" applyFill="1" applyBorder="1"/>
    <xf numFmtId="42" fontId="12" fillId="12" borderId="75" xfId="0" applyNumberFormat="1" applyFont="1" applyFill="1" applyBorder="1"/>
    <xf numFmtId="42" fontId="12" fillId="12" borderId="76" xfId="0" applyNumberFormat="1" applyFont="1" applyFill="1" applyBorder="1"/>
    <xf numFmtId="42" fontId="13" fillId="12" borderId="77" xfId="0" applyNumberFormat="1" applyFont="1" applyFill="1" applyBorder="1"/>
    <xf numFmtId="42" fontId="12" fillId="12" borderId="77" xfId="0" applyNumberFormat="1" applyFont="1" applyFill="1" applyBorder="1"/>
    <xf numFmtId="9" fontId="12" fillId="12" borderId="78" xfId="0" applyNumberFormat="1" applyFont="1" applyFill="1" applyBorder="1" applyAlignment="1">
      <alignment horizontal="center" vertical="center"/>
    </xf>
    <xf numFmtId="9" fontId="24" fillId="12" borderId="19" xfId="0" applyNumberFormat="1" applyFont="1" applyFill="1" applyBorder="1" applyAlignment="1">
      <alignment horizontal="center" vertical="center"/>
    </xf>
    <xf numFmtId="42" fontId="12" fillId="18" borderId="59" xfId="0" applyNumberFormat="1" applyFont="1" applyFill="1" applyBorder="1"/>
    <xf numFmtId="9" fontId="12" fillId="12" borderId="59" xfId="0" applyNumberFormat="1" applyFont="1" applyFill="1" applyBorder="1" applyAlignment="1">
      <alignment horizontal="center"/>
    </xf>
    <xf numFmtId="0" fontId="24" fillId="12" borderId="59" xfId="0" applyFont="1" applyFill="1" applyBorder="1" applyAlignment="1">
      <alignment horizontal="center" vertical="center"/>
    </xf>
    <xf numFmtId="42" fontId="13" fillId="19" borderId="19" xfId="0" applyNumberFormat="1" applyFont="1" applyFill="1" applyBorder="1"/>
    <xf numFmtId="42" fontId="24" fillId="12" borderId="19" xfId="0" applyNumberFormat="1" applyFont="1" applyFill="1" applyBorder="1" applyAlignment="1">
      <alignment horizontal="center" vertical="center"/>
    </xf>
    <xf numFmtId="42" fontId="13" fillId="12" borderId="62" xfId="0" applyNumberFormat="1" applyFont="1" applyFill="1" applyBorder="1"/>
    <xf numFmtId="164" fontId="13" fillId="12" borderId="63" xfId="0" applyNumberFormat="1" applyFont="1" applyFill="1" applyBorder="1"/>
    <xf numFmtId="41" fontId="13" fillId="12" borderId="65" xfId="0" applyNumberFormat="1" applyFont="1" applyFill="1" applyBorder="1"/>
    <xf numFmtId="41" fontId="13" fillId="12" borderId="64" xfId="0" applyNumberFormat="1" applyFont="1" applyFill="1" applyBorder="1"/>
    <xf numFmtId="164" fontId="13" fillId="24" borderId="64" xfId="0" applyNumberFormat="1" applyFont="1" applyFill="1" applyBorder="1"/>
    <xf numFmtId="10" fontId="13" fillId="24" borderId="65" xfId="0" applyNumberFormat="1" applyFont="1" applyFill="1" applyBorder="1" applyAlignment="1">
      <alignment horizontal="center" vertical="center"/>
    </xf>
    <xf numFmtId="164" fontId="13" fillId="18" borderId="66" xfId="0" applyNumberFormat="1" applyFont="1" applyFill="1" applyBorder="1"/>
    <xf numFmtId="9" fontId="13" fillId="12" borderId="65" xfId="0" applyNumberFormat="1" applyFont="1" applyFill="1" applyBorder="1" applyAlignment="1">
      <alignment horizontal="center"/>
    </xf>
    <xf numFmtId="0" fontId="24" fillId="12" borderId="66" xfId="0" applyFont="1" applyFill="1" applyBorder="1" applyAlignment="1">
      <alignment horizontal="center" vertical="center"/>
    </xf>
    <xf numFmtId="41" fontId="13" fillId="12" borderId="73" xfId="0" applyNumberFormat="1" applyFont="1" applyFill="1" applyBorder="1"/>
    <xf numFmtId="164" fontId="13" fillId="0" borderId="19" xfId="0" applyNumberFormat="1" applyFont="1" applyBorder="1"/>
    <xf numFmtId="9" fontId="13" fillId="0" borderId="73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/>
    </xf>
    <xf numFmtId="9" fontId="13" fillId="12" borderId="73" xfId="0" applyNumberFormat="1" applyFont="1" applyFill="1" applyBorder="1" applyAlignment="1">
      <alignment horizontal="center" vertical="center"/>
    </xf>
    <xf numFmtId="164" fontId="13" fillId="25" borderId="0" xfId="0" applyNumberFormat="1" applyFont="1" applyFill="1"/>
    <xf numFmtId="9" fontId="13" fillId="25" borderId="1" xfId="0" applyNumberFormat="1" applyFont="1" applyFill="1" applyBorder="1" applyAlignment="1">
      <alignment horizontal="center" vertical="center"/>
    </xf>
    <xf numFmtId="41" fontId="13" fillId="0" borderId="0" xfId="0" applyNumberFormat="1" applyFont="1"/>
    <xf numFmtId="9" fontId="13" fillId="12" borderId="73" xfId="0" applyNumberFormat="1" applyFont="1" applyFill="1" applyBorder="1" applyAlignment="1">
      <alignment horizontal="center"/>
    </xf>
    <xf numFmtId="0" fontId="14" fillId="0" borderId="74" xfId="0" applyFont="1" applyBorder="1"/>
    <xf numFmtId="41" fontId="13" fillId="19" borderId="0" xfId="0" applyNumberFormat="1" applyFont="1" applyFill="1"/>
    <xf numFmtId="164" fontId="13" fillId="0" borderId="72" xfId="0" applyNumberFormat="1" applyFont="1" applyBorder="1"/>
    <xf numFmtId="41" fontId="13" fillId="12" borderId="79" xfId="0" applyNumberFormat="1" applyFont="1" applyFill="1" applyBorder="1"/>
    <xf numFmtId="41" fontId="13" fillId="12" borderId="32" xfId="0" applyNumberFormat="1" applyFont="1" applyFill="1" applyBorder="1"/>
    <xf numFmtId="0" fontId="24" fillId="12" borderId="74" xfId="0" applyFont="1" applyFill="1" applyBorder="1" applyAlignment="1">
      <alignment horizontal="center" vertical="center"/>
    </xf>
    <xf numFmtId="41" fontId="13" fillId="12" borderId="68" xfId="0" applyNumberFormat="1" applyFont="1" applyFill="1" applyBorder="1"/>
    <xf numFmtId="41" fontId="13" fillId="12" borderId="62" xfId="0" applyNumberFormat="1" applyFont="1" applyFill="1" applyBorder="1"/>
    <xf numFmtId="164" fontId="13" fillId="12" borderId="62" xfId="0" applyNumberFormat="1" applyFont="1" applyFill="1" applyBorder="1"/>
    <xf numFmtId="164" fontId="13" fillId="18" borderId="69" xfId="0" applyNumberFormat="1" applyFont="1" applyFill="1" applyBorder="1"/>
    <xf numFmtId="9" fontId="13" fillId="12" borderId="68" xfId="0" applyNumberFormat="1" applyFont="1" applyFill="1" applyBorder="1" applyAlignment="1">
      <alignment horizontal="center"/>
    </xf>
    <xf numFmtId="0" fontId="24" fillId="12" borderId="69" xfId="0" applyFont="1" applyFill="1" applyBorder="1" applyAlignment="1">
      <alignment horizontal="center" vertical="center"/>
    </xf>
    <xf numFmtId="42" fontId="13" fillId="19" borderId="80" xfId="0" applyNumberFormat="1" applyFont="1" applyFill="1" applyBorder="1" applyAlignment="1">
      <alignment horizontal="right" vertical="center"/>
    </xf>
    <xf numFmtId="42" fontId="12" fillId="12" borderId="81" xfId="0" applyNumberFormat="1" applyFont="1" applyFill="1" applyBorder="1"/>
    <xf numFmtId="42" fontId="12" fillId="12" borderId="82" xfId="0" applyNumberFormat="1" applyFont="1" applyFill="1" applyBorder="1" applyAlignment="1">
      <alignment horizontal="right" vertical="center"/>
    </xf>
    <xf numFmtId="42" fontId="12" fillId="12" borderId="83" xfId="0" applyNumberFormat="1" applyFont="1" applyFill="1" applyBorder="1"/>
    <xf numFmtId="9" fontId="12" fillId="12" borderId="84" xfId="0" applyNumberFormat="1" applyFont="1" applyFill="1" applyBorder="1" applyAlignment="1">
      <alignment horizontal="center" vertical="center"/>
    </xf>
    <xf numFmtId="42" fontId="12" fillId="18" borderId="80" xfId="0" applyNumberFormat="1" applyFont="1" applyFill="1" applyBorder="1"/>
    <xf numFmtId="0" fontId="24" fillId="12" borderId="84" xfId="0" applyFont="1" applyFill="1" applyBorder="1" applyAlignment="1">
      <alignment horizontal="center" vertical="center"/>
    </xf>
    <xf numFmtId="42" fontId="13" fillId="19" borderId="69" xfId="0" applyNumberFormat="1" applyFont="1" applyFill="1" applyBorder="1" applyAlignment="1">
      <alignment horizontal="right" vertical="center"/>
    </xf>
    <xf numFmtId="42" fontId="12" fillId="12" borderId="85" xfId="0" applyNumberFormat="1" applyFont="1" applyFill="1" applyBorder="1" applyAlignment="1">
      <alignment horizontal="right" vertical="center"/>
    </xf>
    <xf numFmtId="42" fontId="12" fillId="12" borderId="86" xfId="0" applyNumberFormat="1" applyFont="1" applyFill="1" applyBorder="1" applyAlignment="1">
      <alignment horizontal="right" vertical="center"/>
    </xf>
    <xf numFmtId="42" fontId="12" fillId="12" borderId="67" xfId="0" applyNumberFormat="1" applyFont="1" applyFill="1" applyBorder="1"/>
    <xf numFmtId="42" fontId="12" fillId="12" borderId="62" xfId="0" applyNumberFormat="1" applyFont="1" applyFill="1" applyBorder="1"/>
    <xf numFmtId="9" fontId="12" fillId="12" borderId="68" xfId="0" applyNumberFormat="1" applyFont="1" applyFill="1" applyBorder="1" applyAlignment="1">
      <alignment horizontal="center" vertical="center"/>
    </xf>
    <xf numFmtId="9" fontId="12" fillId="12" borderId="19" xfId="0" applyNumberFormat="1" applyFont="1" applyFill="1" applyBorder="1" applyAlignment="1">
      <alignment horizontal="center" vertical="center"/>
    </xf>
    <xf numFmtId="42" fontId="12" fillId="18" borderId="69" xfId="0" applyNumberFormat="1" applyFont="1" applyFill="1" applyBorder="1"/>
    <xf numFmtId="0" fontId="24" fillId="12" borderId="68" xfId="0" applyFont="1" applyFill="1" applyBorder="1" applyAlignment="1">
      <alignment horizontal="center" vertical="center"/>
    </xf>
    <xf numFmtId="7" fontId="14" fillId="0" borderId="0" xfId="0" applyNumberFormat="1" applyFont="1"/>
    <xf numFmtId="42" fontId="12" fillId="12" borderId="75" xfId="0" applyNumberFormat="1" applyFont="1" applyFill="1" applyBorder="1" applyAlignment="1">
      <alignment horizontal="right" vertical="center"/>
    </xf>
    <xf numFmtId="0" fontId="14" fillId="12" borderId="78" xfId="0" applyFont="1" applyFill="1" applyBorder="1"/>
    <xf numFmtId="0" fontId="14" fillId="12" borderId="75" xfId="0" applyFont="1" applyFill="1" applyBorder="1"/>
    <xf numFmtId="0" fontId="14" fillId="12" borderId="77" xfId="0" applyFont="1" applyFill="1" applyBorder="1"/>
    <xf numFmtId="0" fontId="5" fillId="25" borderId="0" xfId="0" applyFont="1" applyFill="1"/>
    <xf numFmtId="42" fontId="14" fillId="12" borderId="19" xfId="0" applyNumberFormat="1" applyFont="1" applyFill="1" applyBorder="1"/>
    <xf numFmtId="0" fontId="14" fillId="12" borderId="19" xfId="0" applyFont="1" applyFill="1" applyBorder="1" applyAlignment="1">
      <alignment horizontal="center" vertical="center"/>
    </xf>
    <xf numFmtId="9" fontId="12" fillId="12" borderId="59" xfId="0" applyNumberFormat="1" applyFont="1" applyFill="1" applyBorder="1" applyAlignment="1">
      <alignment horizontal="center" vertical="center"/>
    </xf>
    <xf numFmtId="0" fontId="24" fillId="12" borderId="78" xfId="0" applyFont="1" applyFill="1" applyBorder="1" applyAlignment="1">
      <alignment horizontal="center" vertical="center"/>
    </xf>
    <xf numFmtId="0" fontId="5" fillId="24" borderId="0" xfId="0" applyFont="1" applyFill="1"/>
    <xf numFmtId="42" fontId="12" fillId="12" borderId="87" xfId="0" applyNumberFormat="1" applyFont="1" applyFill="1" applyBorder="1" applyAlignment="1">
      <alignment horizontal="right" vertical="center"/>
    </xf>
    <xf numFmtId="0" fontId="14" fillId="12" borderId="88" xfId="0" applyFont="1" applyFill="1" applyBorder="1"/>
    <xf numFmtId="0" fontId="14" fillId="12" borderId="87" xfId="0" applyFont="1" applyFill="1" applyBorder="1"/>
    <xf numFmtId="0" fontId="14" fillId="12" borderId="89" xfId="0" applyFont="1" applyFill="1" applyBorder="1"/>
    <xf numFmtId="0" fontId="14" fillId="12" borderId="90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24" fillId="12" borderId="88" xfId="0" applyFont="1" applyFill="1" applyBorder="1" applyAlignment="1">
      <alignment horizontal="center" vertical="center"/>
    </xf>
    <xf numFmtId="42" fontId="13" fillId="12" borderId="87" xfId="0" applyNumberFormat="1" applyFont="1" applyFill="1" applyBorder="1" applyAlignment="1">
      <alignment horizontal="right" vertical="center"/>
    </xf>
    <xf numFmtId="0" fontId="12" fillId="12" borderId="87" xfId="0" applyFont="1" applyFill="1" applyBorder="1"/>
    <xf numFmtId="0" fontId="12" fillId="12" borderId="89" xfId="0" applyFont="1" applyFill="1" applyBorder="1"/>
    <xf numFmtId="9" fontId="12" fillId="12" borderId="88" xfId="0" applyNumberFormat="1" applyFont="1" applyFill="1" applyBorder="1"/>
    <xf numFmtId="0" fontId="12" fillId="12" borderId="90" xfId="0" applyFont="1" applyFill="1" applyBorder="1" applyAlignment="1">
      <alignment horizontal="center" vertical="center"/>
    </xf>
    <xf numFmtId="10" fontId="12" fillId="12" borderId="0" xfId="0" applyNumberFormat="1" applyFont="1" applyFill="1" applyAlignment="1">
      <alignment horizontal="center" vertical="center"/>
    </xf>
    <xf numFmtId="164" fontId="12" fillId="12" borderId="87" xfId="0" applyNumberFormat="1" applyFont="1" applyFill="1" applyBorder="1"/>
    <xf numFmtId="42" fontId="12" fillId="12" borderId="89" xfId="0" applyNumberFormat="1" applyFont="1" applyFill="1" applyBorder="1"/>
    <xf numFmtId="164" fontId="12" fillId="12" borderId="90" xfId="0" applyNumberFormat="1" applyFont="1" applyFill="1" applyBorder="1" applyAlignment="1">
      <alignment horizontal="center" vertical="center"/>
    </xf>
    <xf numFmtId="0" fontId="14" fillId="12" borderId="0" xfId="0" applyFont="1" applyFill="1"/>
    <xf numFmtId="0" fontId="28" fillId="12" borderId="0" xfId="0" applyFont="1" applyFill="1"/>
    <xf numFmtId="0" fontId="14" fillId="12" borderId="90" xfId="0" applyFont="1" applyFill="1" applyBorder="1"/>
    <xf numFmtId="42" fontId="12" fillId="12" borderId="87" xfId="0" applyNumberFormat="1" applyFont="1" applyFill="1" applyBorder="1"/>
    <xf numFmtId="0" fontId="12" fillId="12" borderId="88" xfId="0" applyFont="1" applyFill="1" applyBorder="1"/>
    <xf numFmtId="10" fontId="12" fillId="12" borderId="88" xfId="0" applyNumberFormat="1" applyFont="1" applyFill="1" applyBorder="1"/>
    <xf numFmtId="42" fontId="12" fillId="12" borderId="90" xfId="0" applyNumberFormat="1" applyFont="1" applyFill="1" applyBorder="1"/>
    <xf numFmtId="10" fontId="12" fillId="12" borderId="0" xfId="0" applyNumberFormat="1" applyFont="1" applyFill="1"/>
    <xf numFmtId="0" fontId="29" fillId="0" borderId="0" xfId="0" applyFont="1" applyAlignment="1">
      <alignment horizontal="left"/>
    </xf>
    <xf numFmtId="0" fontId="29" fillId="12" borderId="0" xfId="0" applyFont="1" applyFill="1" applyAlignment="1">
      <alignment horizontal="left"/>
    </xf>
    <xf numFmtId="14" fontId="12" fillId="0" borderId="0" xfId="0" applyNumberFormat="1" applyFont="1" applyAlignment="1">
      <alignment horizontal="left"/>
    </xf>
    <xf numFmtId="0" fontId="12" fillId="0" borderId="9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17" fontId="12" fillId="12" borderId="98" xfId="0" applyNumberFormat="1" applyFont="1" applyFill="1" applyBorder="1" applyAlignment="1">
      <alignment horizontal="center" vertical="center"/>
    </xf>
    <xf numFmtId="17" fontId="12" fillId="12" borderId="99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6" fontId="14" fillId="0" borderId="0" xfId="0" applyNumberFormat="1" applyFont="1"/>
    <xf numFmtId="42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64" fontId="12" fillId="0" borderId="100" xfId="0" applyNumberFormat="1" applyFont="1" applyBorder="1"/>
    <xf numFmtId="0" fontId="13" fillId="0" borderId="0" xfId="0" applyFont="1" applyAlignment="1">
      <alignment horizontal="left" vertical="center"/>
    </xf>
    <xf numFmtId="38" fontId="13" fillId="0" borderId="0" xfId="0" applyNumberFormat="1" applyFont="1"/>
    <xf numFmtId="3" fontId="23" fillId="0" borderId="0" xfId="0" applyNumberFormat="1" applyFont="1"/>
    <xf numFmtId="3" fontId="13" fillId="0" borderId="0" xfId="0" applyNumberFormat="1" applyFont="1"/>
    <xf numFmtId="43" fontId="13" fillId="0" borderId="0" xfId="0" applyNumberFormat="1" applyFont="1"/>
    <xf numFmtId="171" fontId="13" fillId="0" borderId="0" xfId="0" applyNumberFormat="1" applyFont="1"/>
    <xf numFmtId="171" fontId="14" fillId="0" borderId="0" xfId="0" applyNumberFormat="1" applyFont="1"/>
    <xf numFmtId="1" fontId="23" fillId="0" borderId="0" xfId="0" applyNumberFormat="1" applyFont="1"/>
    <xf numFmtId="1" fontId="13" fillId="0" borderId="0" xfId="0" applyNumberFormat="1" applyFont="1"/>
    <xf numFmtId="0" fontId="14" fillId="0" borderId="0" xfId="0" applyFont="1"/>
    <xf numFmtId="0" fontId="30" fillId="0" borderId="0" xfId="0" applyFont="1"/>
    <xf numFmtId="172" fontId="15" fillId="0" borderId="0" xfId="0" applyNumberFormat="1" applyFont="1"/>
    <xf numFmtId="0" fontId="15" fillId="0" borderId="0" xfId="0" applyFont="1" applyAlignment="1">
      <alignment horizontal="center"/>
    </xf>
    <xf numFmtId="166" fontId="15" fillId="0" borderId="0" xfId="0" applyNumberFormat="1" applyFont="1"/>
    <xf numFmtId="43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31" fillId="14" borderId="19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5" fillId="24" borderId="0" xfId="0" applyNumberFormat="1" applyFont="1" applyFill="1"/>
    <xf numFmtId="166" fontId="14" fillId="0" borderId="101" xfId="0" applyNumberFormat="1" applyFont="1" applyBorder="1"/>
    <xf numFmtId="0" fontId="15" fillId="14" borderId="19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3" fontId="15" fillId="14" borderId="19" xfId="0" applyNumberFormat="1" applyFont="1" applyFill="1" applyBorder="1"/>
    <xf numFmtId="166" fontId="14" fillId="12" borderId="0" xfId="0" applyNumberFormat="1" applyFont="1" applyFill="1"/>
    <xf numFmtId="42" fontId="15" fillId="0" borderId="101" xfId="0" applyNumberFormat="1" applyFont="1" applyBorder="1"/>
    <xf numFmtId="173" fontId="15" fillId="0" borderId="101" xfId="0" applyNumberFormat="1" applyFont="1" applyBorder="1"/>
    <xf numFmtId="42" fontId="14" fillId="0" borderId="0" xfId="0" applyNumberFormat="1" applyFont="1"/>
    <xf numFmtId="44" fontId="14" fillId="0" borderId="0" xfId="0" applyNumberFormat="1" applyFont="1"/>
    <xf numFmtId="0" fontId="0" fillId="0" borderId="0" xfId="0"/>
    <xf numFmtId="0" fontId="5" fillId="11" borderId="0" xfId="0" applyFont="1" applyFill="1" applyAlignment="1">
      <alignment horizontal="center" wrapText="1"/>
    </xf>
    <xf numFmtId="0" fontId="11" fillId="8" borderId="0" xfId="0" applyFont="1" applyFill="1"/>
    <xf numFmtId="0" fontId="7" fillId="0" borderId="14" xfId="0" applyFont="1" applyBorder="1"/>
    <xf numFmtId="0" fontId="5" fillId="11" borderId="0" xfId="0" applyFont="1" applyFill="1" applyAlignment="1">
      <alignment horizontal="center"/>
    </xf>
    <xf numFmtId="0" fontId="5" fillId="7" borderId="0" xfId="0" applyFont="1" applyFill="1" applyAlignment="1">
      <alignment horizontal="center" wrapText="1"/>
    </xf>
    <xf numFmtId="0" fontId="1" fillId="0" borderId="13" xfId="0" applyFont="1" applyBorder="1"/>
    <xf numFmtId="0" fontId="7" fillId="0" borderId="17" xfId="0" applyFont="1" applyBorder="1"/>
    <xf numFmtId="0" fontId="11" fillId="8" borderId="3" xfId="0" applyFont="1" applyFill="1" applyBorder="1"/>
    <xf numFmtId="0" fontId="7" fillId="0" borderId="2" xfId="0" applyFont="1" applyBorder="1"/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 wrapText="1"/>
    </xf>
    <xf numFmtId="0" fontId="1" fillId="0" borderId="0" xfId="0" applyFont="1"/>
    <xf numFmtId="0" fontId="7" fillId="0" borderId="3" xfId="0" applyFont="1" applyBorder="1"/>
    <xf numFmtId="0" fontId="5" fillId="0" borderId="0" xfId="0" applyFont="1" applyAlignment="1">
      <alignment horizontal="center" wrapText="1"/>
    </xf>
    <xf numFmtId="0" fontId="7" fillId="0" borderId="13" xfId="0" applyFont="1" applyBorder="1"/>
    <xf numFmtId="0" fontId="7" fillId="0" borderId="15" xfId="0" applyFont="1" applyBorder="1"/>
    <xf numFmtId="0" fontId="12" fillId="12" borderId="21" xfId="0" applyFont="1" applyFill="1" applyBorder="1" applyAlignment="1">
      <alignment horizontal="center"/>
    </xf>
    <xf numFmtId="0" fontId="7" fillId="0" borderId="22" xfId="0" applyFont="1" applyBorder="1"/>
    <xf numFmtId="0" fontId="12" fillId="12" borderId="23" xfId="0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15" fillId="0" borderId="92" xfId="0" applyFont="1" applyBorder="1" applyAlignment="1">
      <alignment horizontal="center" vertical="center"/>
    </xf>
    <xf numFmtId="0" fontId="7" fillId="0" borderId="93" xfId="0" applyFont="1" applyBorder="1"/>
    <xf numFmtId="0" fontId="7" fillId="0" borderId="94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eltaairlines-my.sharepoint.com/personal/irina_brimmell_delta_com/Documents/Desktop%2010.18/ANCS/Mar24/FY25%20Budget%20-%20Consolidated%20-%20DRAFT.xlsx" TargetMode="External"/><Relationship Id="rId1" Type="http://schemas.openxmlformats.org/officeDocument/2006/relationships/externalLinkPath" Target="FY25%20Budget%20-%20Consolidated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4 Budget Summary"/>
      <sheetName val="Monthly Summary"/>
      <sheetName val="Exec Director"/>
      <sheetName val="Govern. Board"/>
      <sheetName val="School Services"/>
      <sheetName val="Central Office"/>
      <sheetName val="Aftercare - EC"/>
      <sheetName val="Middle Campus"/>
      <sheetName val="Aftercare - MC"/>
      <sheetName val="Elem Campus"/>
      <sheetName val="Diversity"/>
      <sheetName val="ESS &amp; Student Support"/>
      <sheetName val="Security"/>
      <sheetName val="Mar Comm"/>
      <sheetName val="Gather &amp; Grow"/>
      <sheetName val="Nutrition Program"/>
      <sheetName val="EC Facilities"/>
      <sheetName val=" MC Facilities"/>
      <sheetName val="Farm"/>
      <sheetName val="Information Tech"/>
      <sheetName val="Athletics"/>
      <sheetName val="MACAL"/>
      <sheetName val="PTCA"/>
      <sheetName val="Media Center - EC"/>
      <sheetName val="Media Center - MC"/>
    </sheetNames>
    <sheetDataSet>
      <sheetData sheetId="0">
        <row r="28">
          <cell r="J28">
            <v>796500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workbookViewId="0">
      <selection activeCell="K16" sqref="K16"/>
    </sheetView>
  </sheetViews>
  <sheetFormatPr defaultColWidth="14.42578125" defaultRowHeight="15" customHeight="1"/>
  <cols>
    <col min="1" max="1" width="4.140625" customWidth="1"/>
    <col min="2" max="4" width="14.42578125" customWidth="1"/>
    <col min="5" max="5" width="35.85546875" customWidth="1"/>
    <col min="6" max="6" width="2.85546875" customWidth="1"/>
    <col min="7" max="9" width="14.42578125" hidden="1" customWidth="1"/>
  </cols>
  <sheetData>
    <row r="1" spans="1:10">
      <c r="A1" s="1"/>
      <c r="B1" s="2"/>
      <c r="C1" s="3"/>
      <c r="D1" s="4"/>
      <c r="E1" s="4"/>
      <c r="F1" s="4"/>
      <c r="G1" s="5"/>
      <c r="H1" s="5"/>
      <c r="I1" s="4"/>
      <c r="J1" s="5"/>
    </row>
    <row r="2" spans="1:10">
      <c r="A2" s="6"/>
      <c r="B2" s="7" t="s">
        <v>0</v>
      </c>
      <c r="C2" s="8" t="s">
        <v>1</v>
      </c>
      <c r="D2" s="9"/>
      <c r="E2" s="4"/>
      <c r="F2" s="4"/>
      <c r="G2" s="5"/>
      <c r="H2" s="5"/>
      <c r="I2" s="4"/>
      <c r="J2" s="5"/>
    </row>
    <row r="3" spans="1:10">
      <c r="A3" s="6"/>
      <c r="B3" s="7" t="s">
        <v>2</v>
      </c>
      <c r="C3" s="8" t="s">
        <v>3</v>
      </c>
      <c r="D3" s="9"/>
      <c r="E3" s="4"/>
      <c r="F3" s="4"/>
      <c r="G3" s="5"/>
      <c r="H3" s="5"/>
      <c r="I3" s="4"/>
      <c r="J3" s="5"/>
    </row>
    <row r="4" spans="1:10">
      <c r="A4" s="6"/>
      <c r="B4" s="7" t="s">
        <v>4</v>
      </c>
      <c r="C4" s="10" t="s">
        <v>5</v>
      </c>
      <c r="D4" s="9"/>
      <c r="E4" s="4"/>
      <c r="F4" s="4"/>
      <c r="G4" s="5"/>
      <c r="H4" s="5"/>
      <c r="I4" s="4"/>
      <c r="J4" s="5"/>
    </row>
    <row r="5" spans="1:10">
      <c r="A5" s="4"/>
      <c r="B5" s="4"/>
      <c r="C5" s="11"/>
      <c r="D5" s="4"/>
      <c r="E5" s="12"/>
      <c r="F5" s="4"/>
      <c r="G5" s="5"/>
      <c r="H5" s="13"/>
      <c r="I5" s="4"/>
      <c r="J5" s="13"/>
    </row>
    <row r="6" spans="1:10">
      <c r="A6" s="4"/>
      <c r="B6" s="14" t="s">
        <v>6</v>
      </c>
      <c r="C6" s="11"/>
      <c r="D6" s="15"/>
      <c r="E6" s="16" t="s">
        <v>7</v>
      </c>
      <c r="F6" s="4"/>
      <c r="G6" s="17">
        <v>627</v>
      </c>
      <c r="H6" s="18"/>
      <c r="I6" s="15"/>
      <c r="J6" s="17">
        <v>628</v>
      </c>
    </row>
    <row r="7" spans="1:10">
      <c r="A7" s="4"/>
      <c r="B7" s="4"/>
      <c r="C7" s="11"/>
      <c r="D7" s="4"/>
      <c r="E7" s="4"/>
      <c r="F7" s="1"/>
      <c r="G7" s="19"/>
      <c r="H7" s="1"/>
      <c r="I7" s="1"/>
      <c r="J7" s="19" t="s">
        <v>8</v>
      </c>
    </row>
    <row r="8" spans="1:10" ht="45">
      <c r="A8" s="4"/>
      <c r="B8" s="4"/>
      <c r="C8" s="11"/>
      <c r="D8" s="4"/>
      <c r="E8" s="4"/>
      <c r="F8" s="1"/>
      <c r="G8" s="20" t="s">
        <v>9</v>
      </c>
      <c r="H8" s="20" t="s">
        <v>10</v>
      </c>
      <c r="I8" s="1"/>
      <c r="J8" s="20" t="s">
        <v>3</v>
      </c>
    </row>
    <row r="9" spans="1:10">
      <c r="A9" s="4"/>
      <c r="B9" s="21"/>
      <c r="C9" s="22"/>
      <c r="D9" s="21"/>
      <c r="E9" s="21"/>
      <c r="F9" s="1"/>
      <c r="G9" s="23"/>
      <c r="H9" s="24" t="s">
        <v>11</v>
      </c>
      <c r="I9" s="1"/>
      <c r="J9" s="23"/>
    </row>
    <row r="10" spans="1:10">
      <c r="A10" s="4"/>
      <c r="B10" s="25" t="s">
        <v>12</v>
      </c>
      <c r="C10" s="26" t="s">
        <v>13</v>
      </c>
      <c r="D10" s="4"/>
      <c r="E10" s="1"/>
      <c r="F10" s="1"/>
      <c r="G10" s="19"/>
      <c r="H10" s="19"/>
      <c r="I10" s="1"/>
      <c r="J10" s="19"/>
    </row>
    <row r="11" spans="1:10">
      <c r="A11" s="4"/>
      <c r="B11" s="27"/>
      <c r="C11" s="28"/>
      <c r="D11" s="4"/>
      <c r="E11" s="29" t="s">
        <v>14</v>
      </c>
      <c r="F11" s="1"/>
      <c r="G11" s="30">
        <v>11057490</v>
      </c>
      <c r="H11" s="30" t="s">
        <v>15</v>
      </c>
      <c r="I11" s="1"/>
      <c r="J11" s="30">
        <v>12518566</v>
      </c>
    </row>
    <row r="12" spans="1:10">
      <c r="A12" s="4"/>
      <c r="B12" s="27"/>
      <c r="C12" s="28"/>
      <c r="D12" s="4"/>
      <c r="E12" s="29" t="s">
        <v>16</v>
      </c>
      <c r="F12" s="1"/>
      <c r="G12" s="30">
        <v>155832</v>
      </c>
      <c r="H12" s="30" t="s">
        <v>15</v>
      </c>
      <c r="I12" s="1"/>
      <c r="J12" s="30">
        <v>1111078</v>
      </c>
    </row>
    <row r="13" spans="1:10">
      <c r="A13" s="4"/>
      <c r="B13" s="27"/>
      <c r="C13" s="28"/>
      <c r="D13" s="31"/>
      <c r="E13" s="32"/>
      <c r="F13" s="1"/>
      <c r="G13" s="33" t="s">
        <v>15</v>
      </c>
      <c r="H13" s="2"/>
      <c r="I13" s="1"/>
      <c r="J13" s="33"/>
    </row>
    <row r="14" spans="1:10">
      <c r="A14" s="4"/>
      <c r="B14" s="34"/>
      <c r="C14" s="35">
        <v>1</v>
      </c>
      <c r="D14" s="36" t="s">
        <v>17</v>
      </c>
      <c r="E14" s="37"/>
      <c r="F14" s="38"/>
      <c r="G14" s="39">
        <v>11213322</v>
      </c>
      <c r="H14" s="39" t="s">
        <v>15</v>
      </c>
      <c r="I14" s="40"/>
      <c r="J14" s="39">
        <v>13629644</v>
      </c>
    </row>
    <row r="15" spans="1:10">
      <c r="A15" s="4"/>
      <c r="B15" s="27"/>
      <c r="C15" s="28"/>
      <c r="D15" s="505"/>
      <c r="E15" s="29" t="s">
        <v>18</v>
      </c>
      <c r="F15" s="1"/>
      <c r="G15" s="30">
        <v>105000</v>
      </c>
      <c r="H15" s="19"/>
      <c r="I15" s="1"/>
      <c r="J15" s="30">
        <v>140000</v>
      </c>
    </row>
    <row r="16" spans="1:10">
      <c r="A16" s="4"/>
      <c r="B16" s="27"/>
      <c r="C16" s="28"/>
      <c r="D16" s="493"/>
      <c r="E16" s="29" t="s">
        <v>19</v>
      </c>
      <c r="F16" s="1"/>
      <c r="G16" s="19"/>
      <c r="H16" s="19"/>
      <c r="I16" s="1"/>
      <c r="J16" s="30">
        <v>30000</v>
      </c>
    </row>
    <row r="17" spans="1:10">
      <c r="A17" s="4"/>
      <c r="B17" s="27"/>
      <c r="C17" s="28"/>
      <c r="D17" s="493"/>
      <c r="E17" s="41" t="s">
        <v>20</v>
      </c>
      <c r="F17" s="1"/>
      <c r="G17" s="2"/>
      <c r="H17" s="2"/>
      <c r="I17" s="1"/>
      <c r="J17" s="33">
        <v>30000</v>
      </c>
    </row>
    <row r="18" spans="1:10">
      <c r="A18" s="4"/>
      <c r="B18" s="34"/>
      <c r="C18" s="35">
        <v>1.1000000000000001</v>
      </c>
      <c r="D18" s="36" t="s">
        <v>21</v>
      </c>
      <c r="E18" s="37"/>
      <c r="F18" s="38"/>
      <c r="G18" s="39">
        <v>105000</v>
      </c>
      <c r="H18" s="39" t="s">
        <v>15</v>
      </c>
      <c r="I18" s="38"/>
      <c r="J18" s="39">
        <v>200000</v>
      </c>
    </row>
    <row r="19" spans="1:10">
      <c r="A19" s="4"/>
      <c r="B19" s="27"/>
      <c r="C19" s="28"/>
      <c r="D19" s="505"/>
      <c r="E19" s="29" t="s">
        <v>22</v>
      </c>
      <c r="F19" s="1"/>
      <c r="G19" s="30" t="s">
        <v>15</v>
      </c>
      <c r="H19" s="19"/>
      <c r="I19" s="1"/>
      <c r="J19" s="30">
        <v>240000</v>
      </c>
    </row>
    <row r="20" spans="1:10">
      <c r="A20" s="4"/>
      <c r="B20" s="27"/>
      <c r="C20" s="28"/>
      <c r="D20" s="493"/>
      <c r="E20" s="29" t="s">
        <v>23</v>
      </c>
      <c r="F20" s="1"/>
      <c r="G20" s="30">
        <v>10010</v>
      </c>
      <c r="H20" s="19"/>
      <c r="I20" s="1"/>
      <c r="J20" s="30">
        <v>23600</v>
      </c>
    </row>
    <row r="21" spans="1:10" ht="15.75" customHeight="1">
      <c r="A21" s="4"/>
      <c r="B21" s="27"/>
      <c r="C21" s="28"/>
      <c r="D21" s="493"/>
      <c r="E21" s="29" t="s">
        <v>24</v>
      </c>
      <c r="F21" s="1"/>
      <c r="G21" s="30" t="s">
        <v>15</v>
      </c>
      <c r="H21" s="30">
        <v>1000</v>
      </c>
      <c r="I21" s="1"/>
      <c r="J21" s="30">
        <v>20000</v>
      </c>
    </row>
    <row r="22" spans="1:10" ht="15.75" customHeight="1">
      <c r="A22" s="4"/>
      <c r="B22" s="27"/>
      <c r="C22" s="28"/>
      <c r="D22" s="493"/>
      <c r="E22" s="29" t="s">
        <v>25</v>
      </c>
      <c r="F22" s="1"/>
      <c r="G22" s="30" t="s">
        <v>15</v>
      </c>
      <c r="H22" s="30">
        <v>1000</v>
      </c>
      <c r="I22" s="1"/>
      <c r="J22" s="30">
        <v>60000</v>
      </c>
    </row>
    <row r="23" spans="1:10" ht="15.75" customHeight="1">
      <c r="A23" s="4"/>
      <c r="B23" s="27"/>
      <c r="C23" s="28"/>
      <c r="D23" s="493"/>
      <c r="E23" s="29" t="s">
        <v>26</v>
      </c>
      <c r="F23" s="1"/>
      <c r="G23" s="30" t="s">
        <v>15</v>
      </c>
      <c r="H23" s="30">
        <v>1000</v>
      </c>
      <c r="I23" s="1"/>
      <c r="J23" s="30">
        <v>15000</v>
      </c>
    </row>
    <row r="24" spans="1:10" ht="15.75" customHeight="1">
      <c r="A24" s="4"/>
      <c r="B24" s="27"/>
      <c r="C24" s="28"/>
      <c r="D24" s="493"/>
      <c r="E24" s="29" t="s">
        <v>27</v>
      </c>
      <c r="F24" s="1"/>
      <c r="G24" s="19"/>
      <c r="H24" s="19"/>
      <c r="I24" s="1"/>
      <c r="J24" s="30">
        <v>35000</v>
      </c>
    </row>
    <row r="25" spans="1:10" ht="15.75" customHeight="1">
      <c r="A25" s="4"/>
      <c r="B25" s="27"/>
      <c r="C25" s="28"/>
      <c r="D25" s="506"/>
      <c r="E25" s="41" t="s">
        <v>28</v>
      </c>
      <c r="F25" s="1"/>
      <c r="G25" s="33">
        <v>5000</v>
      </c>
      <c r="H25" s="2"/>
      <c r="I25" s="1"/>
      <c r="J25" s="33">
        <v>290000</v>
      </c>
    </row>
    <row r="26" spans="1:10" ht="15.75" customHeight="1">
      <c r="A26" s="4"/>
      <c r="B26" s="42"/>
      <c r="C26" s="43">
        <v>1.2</v>
      </c>
      <c r="D26" s="44" t="s">
        <v>29</v>
      </c>
      <c r="E26" s="45"/>
      <c r="F26" s="46"/>
      <c r="G26" s="47">
        <v>15010</v>
      </c>
      <c r="H26" s="47">
        <v>3000</v>
      </c>
      <c r="I26" s="46"/>
      <c r="J26" s="47">
        <v>683600</v>
      </c>
    </row>
    <row r="27" spans="1:10" ht="15.75" customHeight="1">
      <c r="A27" s="4"/>
      <c r="B27" s="27"/>
      <c r="C27" s="28"/>
      <c r="D27" s="507" t="s">
        <v>30</v>
      </c>
      <c r="E27" s="29" t="s">
        <v>31</v>
      </c>
      <c r="F27" s="1"/>
      <c r="G27" s="30">
        <v>9130</v>
      </c>
      <c r="H27" s="19"/>
      <c r="I27" s="1"/>
      <c r="J27" s="30" t="s">
        <v>5</v>
      </c>
    </row>
    <row r="28" spans="1:10" ht="15.75" customHeight="1">
      <c r="A28" s="4"/>
      <c r="B28" s="27"/>
      <c r="C28" s="28"/>
      <c r="D28" s="506"/>
      <c r="E28" s="41" t="s">
        <v>32</v>
      </c>
      <c r="F28" s="1"/>
      <c r="G28" s="33">
        <v>3641</v>
      </c>
      <c r="H28" s="2"/>
      <c r="I28" s="1"/>
      <c r="J28" s="33">
        <v>25000</v>
      </c>
    </row>
    <row r="29" spans="1:10" ht="15.75" customHeight="1">
      <c r="A29" s="4"/>
      <c r="B29" s="48"/>
      <c r="C29" s="49">
        <v>1.3</v>
      </c>
      <c r="D29" s="44" t="s">
        <v>33</v>
      </c>
      <c r="E29" s="45"/>
      <c r="F29" s="46"/>
      <c r="G29" s="47">
        <v>12771</v>
      </c>
      <c r="H29" s="47" t="s">
        <v>15</v>
      </c>
      <c r="I29" s="46"/>
      <c r="J29" s="47">
        <v>25000</v>
      </c>
    </row>
    <row r="30" spans="1:10" ht="15.75" customHeight="1">
      <c r="A30" s="4"/>
      <c r="B30" s="50"/>
      <c r="C30" s="51"/>
      <c r="D30" s="52" t="s">
        <v>34</v>
      </c>
      <c r="E30" s="53"/>
      <c r="F30" s="54"/>
      <c r="G30" s="55">
        <v>11346103</v>
      </c>
      <c r="H30" s="55">
        <v>3000</v>
      </c>
      <c r="I30" s="54"/>
      <c r="J30" s="55">
        <v>14538244</v>
      </c>
    </row>
    <row r="31" spans="1:10" ht="15.75" customHeight="1">
      <c r="A31" s="4"/>
      <c r="B31" s="4"/>
      <c r="C31" s="11"/>
      <c r="D31" s="4"/>
      <c r="E31" s="4"/>
      <c r="F31" s="4"/>
      <c r="G31" s="5"/>
      <c r="H31" s="5"/>
      <c r="I31" s="4"/>
      <c r="J31" s="5"/>
    </row>
    <row r="32" spans="1:10" ht="15.75" customHeight="1">
      <c r="A32" s="4"/>
      <c r="B32" s="21"/>
      <c r="C32" s="22"/>
      <c r="D32" s="56"/>
      <c r="E32" s="56"/>
      <c r="F32" s="4"/>
      <c r="G32" s="5"/>
      <c r="H32" s="5"/>
      <c r="I32" s="4"/>
      <c r="J32" s="57"/>
    </row>
    <row r="33" spans="1:10" ht="15.75" customHeight="1">
      <c r="A33" s="4"/>
      <c r="B33" s="58" t="s">
        <v>35</v>
      </c>
      <c r="C33" s="59"/>
      <c r="D33" s="498" t="s">
        <v>36</v>
      </c>
      <c r="E33" s="60" t="s">
        <v>36</v>
      </c>
      <c r="F33" s="4"/>
      <c r="G33" s="61">
        <v>10143984</v>
      </c>
      <c r="H33" s="61">
        <v>200000</v>
      </c>
      <c r="I33" s="62"/>
      <c r="J33" s="63">
        <v>12217875</v>
      </c>
    </row>
    <row r="34" spans="1:10" ht="15.75" customHeight="1">
      <c r="A34" s="4"/>
      <c r="B34" s="64"/>
      <c r="C34" s="59"/>
      <c r="D34" s="508"/>
      <c r="E34" s="65" t="s">
        <v>37</v>
      </c>
      <c r="F34" s="4"/>
      <c r="G34" s="66">
        <v>20000</v>
      </c>
      <c r="H34" s="5"/>
      <c r="I34" s="62"/>
      <c r="J34" s="67">
        <v>38400</v>
      </c>
    </row>
    <row r="35" spans="1:10" ht="15.75" customHeight="1">
      <c r="A35" s="4"/>
      <c r="B35" s="64"/>
      <c r="C35" s="68">
        <v>2</v>
      </c>
      <c r="D35" s="501" t="s">
        <v>38</v>
      </c>
      <c r="E35" s="509"/>
      <c r="F35" s="69"/>
      <c r="G35" s="70">
        <v>10163984</v>
      </c>
      <c r="H35" s="71"/>
      <c r="I35" s="72"/>
      <c r="J35" s="73">
        <v>12256275</v>
      </c>
    </row>
    <row r="36" spans="1:10" ht="15.75" customHeight="1">
      <c r="A36" s="4"/>
      <c r="B36" s="64"/>
      <c r="C36" s="59"/>
      <c r="D36" s="498" t="s">
        <v>39</v>
      </c>
      <c r="E36" s="65" t="s">
        <v>40</v>
      </c>
      <c r="F36" s="4"/>
      <c r="G36" s="19"/>
      <c r="H36" s="5"/>
      <c r="I36" s="62"/>
      <c r="J36" s="67">
        <v>112000</v>
      </c>
    </row>
    <row r="37" spans="1:10" ht="15.75" customHeight="1">
      <c r="A37" s="4"/>
      <c r="B37" s="64"/>
      <c r="C37" s="59"/>
      <c r="D37" s="493"/>
      <c r="E37" s="74"/>
      <c r="F37" s="4"/>
      <c r="G37" s="2"/>
      <c r="H37" s="75"/>
      <c r="I37" s="62"/>
      <c r="J37" s="76"/>
    </row>
    <row r="38" spans="1:10" ht="15.75" customHeight="1">
      <c r="A38" s="4"/>
      <c r="B38" s="64"/>
      <c r="C38" s="68">
        <v>2.1</v>
      </c>
      <c r="D38" s="501" t="s">
        <v>41</v>
      </c>
      <c r="E38" s="502"/>
      <c r="F38" s="77"/>
      <c r="G38" s="78" t="e">
        <v>#REF!</v>
      </c>
      <c r="H38" s="78" t="e">
        <v>#REF!</v>
      </c>
      <c r="I38" s="72"/>
      <c r="J38" s="73">
        <v>112000</v>
      </c>
    </row>
    <row r="39" spans="1:10" ht="15.75" customHeight="1">
      <c r="A39" s="4"/>
      <c r="B39" s="64"/>
      <c r="C39" s="59"/>
      <c r="D39" s="503" t="s">
        <v>42</v>
      </c>
      <c r="E39" s="65" t="s">
        <v>43</v>
      </c>
      <c r="F39" s="4"/>
      <c r="G39" s="30">
        <v>119000</v>
      </c>
      <c r="H39" s="19"/>
      <c r="I39" s="62"/>
      <c r="J39" s="30">
        <v>312000</v>
      </c>
    </row>
    <row r="40" spans="1:10" ht="15.75" customHeight="1">
      <c r="A40" s="4"/>
      <c r="B40" s="64"/>
      <c r="C40" s="59"/>
      <c r="D40" s="493"/>
      <c r="E40" s="65" t="s">
        <v>26</v>
      </c>
      <c r="F40" s="1"/>
      <c r="G40" s="30" t="s">
        <v>15</v>
      </c>
      <c r="H40" s="30">
        <v>3000</v>
      </c>
      <c r="I40" s="62"/>
      <c r="J40" s="30">
        <v>20000</v>
      </c>
    </row>
    <row r="41" spans="1:10" ht="15.75" customHeight="1">
      <c r="A41" s="4"/>
      <c r="B41" s="64"/>
      <c r="C41" s="59"/>
      <c r="D41" s="493"/>
      <c r="E41" s="65" t="s">
        <v>44</v>
      </c>
      <c r="F41" s="1"/>
      <c r="G41" s="30">
        <v>10000</v>
      </c>
      <c r="H41" s="19"/>
      <c r="I41" s="62"/>
      <c r="J41" s="30">
        <v>23000</v>
      </c>
    </row>
    <row r="42" spans="1:10" ht="15.75" customHeight="1">
      <c r="A42" s="4"/>
      <c r="B42" s="64"/>
      <c r="C42" s="59"/>
      <c r="D42" s="493"/>
      <c r="E42" s="65" t="s">
        <v>24</v>
      </c>
      <c r="F42" s="1"/>
      <c r="G42" s="30" t="s">
        <v>15</v>
      </c>
      <c r="H42" s="30">
        <v>1500</v>
      </c>
      <c r="I42" s="62"/>
      <c r="J42" s="30">
        <v>20000</v>
      </c>
    </row>
    <row r="43" spans="1:10" ht="15.75" customHeight="1">
      <c r="A43" s="4"/>
      <c r="B43" s="64"/>
      <c r="C43" s="59"/>
      <c r="D43" s="493"/>
      <c r="E43" s="65" t="s">
        <v>25</v>
      </c>
      <c r="F43" s="1"/>
      <c r="G43" s="30" t="s">
        <v>15</v>
      </c>
      <c r="H43" s="30">
        <v>1500</v>
      </c>
      <c r="I43" s="62"/>
      <c r="J43" s="30">
        <v>45000</v>
      </c>
    </row>
    <row r="44" spans="1:10" ht="15.75" customHeight="1">
      <c r="A44" s="4"/>
      <c r="B44" s="64"/>
      <c r="C44" s="59"/>
      <c r="D44" s="493"/>
      <c r="E44" s="65" t="s">
        <v>45</v>
      </c>
      <c r="F44" s="1"/>
      <c r="G44" s="30">
        <v>10000</v>
      </c>
      <c r="H44" s="19"/>
      <c r="I44" s="62"/>
      <c r="J44" s="30">
        <v>10000</v>
      </c>
    </row>
    <row r="45" spans="1:10" ht="15.75" customHeight="1">
      <c r="A45" s="4"/>
      <c r="B45" s="64"/>
      <c r="C45" s="59"/>
      <c r="D45" s="493"/>
      <c r="E45" s="65" t="s">
        <v>46</v>
      </c>
      <c r="F45" s="1"/>
      <c r="G45" s="30" t="s">
        <v>15</v>
      </c>
      <c r="H45" s="30">
        <v>1000</v>
      </c>
      <c r="I45" s="62"/>
      <c r="J45" s="30">
        <v>73500</v>
      </c>
    </row>
    <row r="46" spans="1:10" ht="15.75" customHeight="1">
      <c r="A46" s="4"/>
      <c r="B46" s="64"/>
      <c r="C46" s="59"/>
      <c r="D46" s="493"/>
      <c r="E46" s="65" t="s">
        <v>27</v>
      </c>
      <c r="F46" s="1"/>
      <c r="G46" s="2"/>
      <c r="H46" s="2"/>
      <c r="I46" s="62"/>
      <c r="J46" s="33">
        <v>35000</v>
      </c>
    </row>
    <row r="47" spans="1:10" ht="15.75" customHeight="1">
      <c r="A47" s="4"/>
      <c r="B47" s="64"/>
      <c r="C47" s="59"/>
      <c r="D47" s="493"/>
      <c r="E47" s="79" t="s">
        <v>47</v>
      </c>
      <c r="F47" s="80"/>
      <c r="G47" s="81">
        <v>139000</v>
      </c>
      <c r="H47" s="82">
        <v>7000</v>
      </c>
      <c r="I47" s="83"/>
      <c r="J47" s="81">
        <v>538500</v>
      </c>
    </row>
    <row r="48" spans="1:10" ht="15.75" customHeight="1">
      <c r="A48" s="4"/>
      <c r="B48" s="64"/>
      <c r="C48" s="59"/>
      <c r="D48" s="504" t="s">
        <v>48</v>
      </c>
      <c r="E48" s="65" t="s">
        <v>49</v>
      </c>
      <c r="F48" s="1"/>
      <c r="G48" s="30">
        <v>571888</v>
      </c>
      <c r="H48" s="2"/>
      <c r="I48" s="62"/>
      <c r="J48" s="30">
        <v>148100</v>
      </c>
    </row>
    <row r="49" spans="1:10" ht="15.75" customHeight="1">
      <c r="A49" s="4"/>
      <c r="B49" s="64"/>
      <c r="C49" s="59"/>
      <c r="D49" s="493"/>
      <c r="E49" s="65" t="s">
        <v>50</v>
      </c>
      <c r="F49" s="1"/>
      <c r="G49" s="33">
        <v>70000</v>
      </c>
      <c r="H49" s="2"/>
      <c r="I49" s="62"/>
      <c r="J49" s="30">
        <v>91000</v>
      </c>
    </row>
    <row r="50" spans="1:10" ht="15.75" customHeight="1">
      <c r="A50" s="4"/>
      <c r="B50" s="64"/>
      <c r="C50" s="59"/>
      <c r="D50" s="493"/>
      <c r="E50" s="62"/>
      <c r="F50" s="1"/>
      <c r="G50" s="23"/>
      <c r="H50" s="23"/>
      <c r="I50" s="62"/>
      <c r="J50" s="76"/>
    </row>
    <row r="51" spans="1:10" ht="15.75" customHeight="1">
      <c r="A51" s="4"/>
      <c r="B51" s="64"/>
      <c r="C51" s="59"/>
      <c r="D51" s="493"/>
      <c r="E51" s="84" t="s">
        <v>51</v>
      </c>
      <c r="F51" s="85"/>
      <c r="G51" s="86" t="s">
        <v>15</v>
      </c>
      <c r="H51" s="86" t="s">
        <v>15</v>
      </c>
      <c r="I51" s="87"/>
      <c r="J51" s="86">
        <v>239100</v>
      </c>
    </row>
    <row r="52" spans="1:10" ht="15.75" customHeight="1">
      <c r="A52" s="4"/>
      <c r="B52" s="64"/>
      <c r="C52" s="68">
        <v>2.2000000000000002</v>
      </c>
      <c r="D52" s="495" t="s">
        <v>52</v>
      </c>
      <c r="E52" s="496"/>
      <c r="F52" s="88"/>
      <c r="G52" s="70">
        <v>139000</v>
      </c>
      <c r="H52" s="89">
        <v>7000</v>
      </c>
      <c r="I52" s="72"/>
      <c r="J52" s="90">
        <v>777600</v>
      </c>
    </row>
    <row r="53" spans="1:10" ht="15.75" customHeight="1">
      <c r="A53" s="4"/>
      <c r="B53" s="64"/>
      <c r="C53" s="59"/>
      <c r="D53" s="497" t="s">
        <v>53</v>
      </c>
      <c r="E53" s="65" t="s">
        <v>54</v>
      </c>
      <c r="F53" s="1"/>
      <c r="G53" s="19"/>
      <c r="H53" s="91"/>
      <c r="I53" s="62"/>
      <c r="J53" s="67">
        <v>151226</v>
      </c>
    </row>
    <row r="54" spans="1:10" ht="15.75" customHeight="1">
      <c r="A54" s="4"/>
      <c r="B54" s="64"/>
      <c r="C54" s="59"/>
      <c r="D54" s="493"/>
      <c r="E54" s="65" t="s">
        <v>55</v>
      </c>
      <c r="F54" s="1"/>
      <c r="G54" s="30">
        <v>5000</v>
      </c>
      <c r="H54" s="92" t="s">
        <v>5</v>
      </c>
      <c r="I54" s="62"/>
      <c r="J54" s="67">
        <v>11500</v>
      </c>
    </row>
    <row r="55" spans="1:10" ht="15.75" customHeight="1">
      <c r="A55" s="4"/>
      <c r="B55" s="64"/>
      <c r="C55" s="59"/>
      <c r="D55" s="493"/>
      <c r="E55" s="65" t="s">
        <v>56</v>
      </c>
      <c r="F55" s="1"/>
      <c r="G55" s="30">
        <v>87643</v>
      </c>
      <c r="H55" s="92">
        <v>7000</v>
      </c>
      <c r="I55" s="62"/>
      <c r="J55" s="67">
        <v>125000</v>
      </c>
    </row>
    <row r="56" spans="1:10" ht="15.75" customHeight="1">
      <c r="A56" s="4"/>
      <c r="B56" s="64"/>
      <c r="C56" s="59"/>
      <c r="D56" s="493"/>
      <c r="E56" s="65" t="s">
        <v>57</v>
      </c>
      <c r="F56" s="1"/>
      <c r="G56" s="30">
        <v>13500</v>
      </c>
      <c r="H56" s="92">
        <v>10000</v>
      </c>
      <c r="I56" s="62"/>
      <c r="J56" s="67">
        <v>25000</v>
      </c>
    </row>
    <row r="57" spans="1:10" ht="15.75" customHeight="1">
      <c r="A57" s="4"/>
      <c r="B57" s="64"/>
      <c r="C57" s="59"/>
      <c r="D57" s="493"/>
      <c r="E57" s="65" t="s">
        <v>58</v>
      </c>
      <c r="F57" s="93"/>
      <c r="G57" s="30">
        <v>36627</v>
      </c>
      <c r="H57" s="94">
        <v>7000</v>
      </c>
      <c r="I57" s="62"/>
      <c r="J57" s="67">
        <v>12500</v>
      </c>
    </row>
    <row r="58" spans="1:10" ht="15.75" customHeight="1">
      <c r="A58" s="4"/>
      <c r="B58" s="64"/>
      <c r="C58" s="59"/>
      <c r="D58" s="493"/>
      <c r="E58" s="65" t="s">
        <v>59</v>
      </c>
      <c r="F58" s="93"/>
      <c r="G58" s="30">
        <v>105264</v>
      </c>
      <c r="H58" s="19"/>
      <c r="I58" s="62"/>
      <c r="J58" s="67">
        <v>92000</v>
      </c>
    </row>
    <row r="59" spans="1:10" ht="15.75" customHeight="1">
      <c r="A59" s="4"/>
      <c r="B59" s="64"/>
      <c r="C59" s="59"/>
      <c r="D59" s="493"/>
      <c r="E59" s="65" t="s">
        <v>60</v>
      </c>
      <c r="F59" s="93"/>
      <c r="G59" s="30">
        <v>7332</v>
      </c>
      <c r="H59" s="19"/>
      <c r="I59" s="62"/>
      <c r="J59" s="67">
        <v>16500</v>
      </c>
    </row>
    <row r="60" spans="1:10" ht="15.75" customHeight="1">
      <c r="A60" s="4"/>
      <c r="B60" s="64"/>
      <c r="C60" s="59"/>
      <c r="D60" s="493"/>
      <c r="E60" s="65" t="s">
        <v>61</v>
      </c>
      <c r="F60" s="1"/>
      <c r="G60" s="30">
        <v>110000</v>
      </c>
      <c r="H60" s="19"/>
      <c r="I60" s="62"/>
      <c r="J60" s="95">
        <v>371500</v>
      </c>
    </row>
    <row r="61" spans="1:10" ht="15.75" customHeight="1">
      <c r="A61" s="4"/>
      <c r="B61" s="64"/>
      <c r="C61" s="59"/>
      <c r="D61" s="493"/>
      <c r="E61" s="96" t="s">
        <v>62</v>
      </c>
      <c r="F61" s="97"/>
      <c r="G61" s="98"/>
      <c r="H61" s="98"/>
      <c r="I61" s="99"/>
      <c r="J61" s="100">
        <v>805226</v>
      </c>
    </row>
    <row r="62" spans="1:10" ht="15.75" customHeight="1">
      <c r="A62" s="4"/>
      <c r="B62" s="64"/>
      <c r="C62" s="59"/>
      <c r="D62" s="498" t="s">
        <v>63</v>
      </c>
      <c r="E62" s="65" t="s">
        <v>64</v>
      </c>
      <c r="F62" s="1"/>
      <c r="G62" s="30">
        <v>5600</v>
      </c>
      <c r="H62" s="19"/>
      <c r="I62" s="62"/>
      <c r="J62" s="67">
        <v>10000</v>
      </c>
    </row>
    <row r="63" spans="1:10" ht="15.75" customHeight="1">
      <c r="A63" s="4"/>
      <c r="B63" s="64"/>
      <c r="C63" s="59"/>
      <c r="D63" s="493"/>
      <c r="E63" s="65" t="s">
        <v>61</v>
      </c>
      <c r="F63" s="1"/>
      <c r="G63" s="33">
        <v>17500</v>
      </c>
      <c r="H63" s="101">
        <v>10000</v>
      </c>
      <c r="I63" s="62"/>
      <c r="J63" s="67">
        <v>2000</v>
      </c>
    </row>
    <row r="64" spans="1:10" ht="15.75" customHeight="1">
      <c r="A64" s="4"/>
      <c r="B64" s="64"/>
      <c r="C64" s="59"/>
      <c r="D64" s="493"/>
      <c r="E64" s="62"/>
      <c r="F64" s="1"/>
      <c r="G64" s="102">
        <v>23100</v>
      </c>
      <c r="H64" s="102">
        <v>10000</v>
      </c>
      <c r="I64" s="62"/>
      <c r="J64" s="103"/>
    </row>
    <row r="65" spans="1:10" ht="15.75" customHeight="1">
      <c r="A65" s="4"/>
      <c r="B65" s="64"/>
      <c r="C65" s="59"/>
      <c r="D65" s="493"/>
      <c r="E65" s="104" t="s">
        <v>65</v>
      </c>
      <c r="F65" s="105"/>
      <c r="G65" s="106"/>
      <c r="H65" s="106"/>
      <c r="I65" s="107"/>
      <c r="J65" s="108">
        <v>12000</v>
      </c>
    </row>
    <row r="66" spans="1:10" ht="15.75" customHeight="1">
      <c r="A66" s="4"/>
      <c r="B66" s="64"/>
      <c r="C66" s="68">
        <v>2.2999999999999998</v>
      </c>
      <c r="D66" s="495" t="s">
        <v>66</v>
      </c>
      <c r="E66" s="496"/>
      <c r="F66" s="88"/>
      <c r="G66" s="78" t="e">
        <v>#REF!</v>
      </c>
      <c r="H66" s="78" t="e">
        <v>#REF!</v>
      </c>
      <c r="I66" s="72"/>
      <c r="J66" s="109">
        <v>817226</v>
      </c>
    </row>
    <row r="67" spans="1:10" ht="15.75" customHeight="1">
      <c r="A67" s="4"/>
      <c r="B67" s="64"/>
      <c r="C67" s="59"/>
      <c r="D67" s="494" t="s">
        <v>67</v>
      </c>
      <c r="E67" s="65" t="s">
        <v>68</v>
      </c>
      <c r="F67" s="1"/>
      <c r="G67" s="30">
        <v>1500</v>
      </c>
      <c r="H67" s="19"/>
      <c r="I67" s="62"/>
      <c r="J67" s="67">
        <v>3000</v>
      </c>
    </row>
    <row r="68" spans="1:10" ht="15.75" customHeight="1">
      <c r="A68" s="4"/>
      <c r="B68" s="64"/>
      <c r="C68" s="59"/>
      <c r="D68" s="493"/>
      <c r="E68" s="65" t="s">
        <v>69</v>
      </c>
      <c r="F68" s="1"/>
      <c r="G68" s="30">
        <v>68000</v>
      </c>
      <c r="H68" s="19"/>
      <c r="I68" s="62"/>
      <c r="J68" s="67">
        <v>10000</v>
      </c>
    </row>
    <row r="69" spans="1:10" ht="15.75" customHeight="1">
      <c r="A69" s="4"/>
      <c r="B69" s="64"/>
      <c r="C69" s="59"/>
      <c r="D69" s="493"/>
      <c r="E69" s="65" t="s">
        <v>70</v>
      </c>
      <c r="F69" s="1"/>
      <c r="G69" s="33" t="s">
        <v>15</v>
      </c>
      <c r="H69" s="2"/>
      <c r="I69" s="62"/>
      <c r="J69" s="95">
        <v>40000</v>
      </c>
    </row>
    <row r="70" spans="1:10" ht="15.75" customHeight="1">
      <c r="A70" s="4"/>
      <c r="B70" s="64"/>
      <c r="C70" s="68">
        <v>2.4</v>
      </c>
      <c r="D70" s="495" t="s">
        <v>71</v>
      </c>
      <c r="E70" s="496"/>
      <c r="F70" s="88"/>
      <c r="G70" s="70">
        <v>69500</v>
      </c>
      <c r="H70" s="70" t="s">
        <v>15</v>
      </c>
      <c r="I70" s="72"/>
      <c r="J70" s="73">
        <v>53000</v>
      </c>
    </row>
    <row r="71" spans="1:10" ht="15.75" customHeight="1">
      <c r="A71" s="4"/>
      <c r="B71" s="64"/>
      <c r="C71" s="59"/>
      <c r="D71" s="494" t="s">
        <v>72</v>
      </c>
      <c r="E71" s="65" t="s">
        <v>73</v>
      </c>
      <c r="F71" s="1"/>
      <c r="G71" s="30">
        <v>36000</v>
      </c>
      <c r="H71" s="19"/>
      <c r="I71" s="62"/>
      <c r="J71" s="67">
        <v>50000</v>
      </c>
    </row>
    <row r="72" spans="1:10" ht="15.75" customHeight="1">
      <c r="A72" s="4"/>
      <c r="B72" s="64"/>
      <c r="C72" s="59"/>
      <c r="D72" s="493"/>
      <c r="E72" s="65" t="s">
        <v>74</v>
      </c>
      <c r="F72" s="1"/>
      <c r="G72" s="30">
        <v>150000</v>
      </c>
      <c r="H72" s="19"/>
      <c r="I72" s="62"/>
      <c r="J72" s="67">
        <v>109408</v>
      </c>
    </row>
    <row r="73" spans="1:10" ht="15.75" customHeight="1">
      <c r="A73" s="4"/>
      <c r="B73" s="64"/>
      <c r="C73" s="59"/>
      <c r="D73" s="493"/>
      <c r="E73" s="65" t="s">
        <v>75</v>
      </c>
      <c r="F73" s="1"/>
      <c r="G73" s="30">
        <v>2000</v>
      </c>
      <c r="H73" s="19"/>
      <c r="I73" s="62"/>
      <c r="J73" s="67">
        <v>2000</v>
      </c>
    </row>
    <row r="74" spans="1:10" ht="15.75" customHeight="1">
      <c r="A74" s="4"/>
      <c r="B74" s="64"/>
      <c r="C74" s="59"/>
      <c r="D74" s="493"/>
      <c r="E74" s="65" t="s">
        <v>76</v>
      </c>
      <c r="F74" s="1"/>
      <c r="G74" s="30">
        <v>2000</v>
      </c>
      <c r="H74" s="19"/>
      <c r="I74" s="62"/>
      <c r="J74" s="67">
        <v>6000</v>
      </c>
    </row>
    <row r="75" spans="1:10" ht="15.75" customHeight="1">
      <c r="A75" s="4"/>
      <c r="B75" s="64"/>
      <c r="C75" s="59"/>
      <c r="D75" s="493"/>
      <c r="E75" s="65" t="s">
        <v>77</v>
      </c>
      <c r="F75" s="1"/>
      <c r="G75" s="30" t="s">
        <v>15</v>
      </c>
      <c r="H75" s="19"/>
      <c r="I75" s="62"/>
      <c r="J75" s="67" t="s">
        <v>5</v>
      </c>
    </row>
    <row r="76" spans="1:10" ht="15.75" customHeight="1">
      <c r="A76" s="4"/>
      <c r="B76" s="64"/>
      <c r="C76" s="59"/>
      <c r="D76" s="493"/>
      <c r="E76" s="65" t="s">
        <v>78</v>
      </c>
      <c r="F76" s="1"/>
      <c r="G76" s="30">
        <v>80000</v>
      </c>
      <c r="H76" s="19"/>
      <c r="I76" s="62"/>
      <c r="J76" s="67">
        <v>40000</v>
      </c>
    </row>
    <row r="77" spans="1:10" ht="15.75" customHeight="1">
      <c r="A77" s="4"/>
      <c r="B77" s="64"/>
      <c r="C77" s="59"/>
      <c r="D77" s="493"/>
      <c r="E77" s="65" t="s">
        <v>79</v>
      </c>
      <c r="F77" s="1"/>
      <c r="G77" s="30">
        <v>60000</v>
      </c>
      <c r="H77" s="19"/>
      <c r="I77" s="62"/>
      <c r="J77" s="67">
        <v>58000</v>
      </c>
    </row>
    <row r="78" spans="1:10" ht="15.75" customHeight="1">
      <c r="A78" s="4"/>
      <c r="B78" s="64"/>
      <c r="C78" s="59"/>
      <c r="D78" s="493"/>
      <c r="E78" s="65" t="s">
        <v>80</v>
      </c>
      <c r="F78" s="1"/>
      <c r="G78" s="30">
        <v>3000</v>
      </c>
      <c r="H78" s="19"/>
      <c r="I78" s="62"/>
      <c r="J78" s="67">
        <v>5000</v>
      </c>
    </row>
    <row r="79" spans="1:10" ht="15.75" customHeight="1">
      <c r="A79" s="4"/>
      <c r="B79" s="64"/>
      <c r="C79" s="59"/>
      <c r="D79" s="110"/>
      <c r="E79" s="60" t="s">
        <v>81</v>
      </c>
      <c r="F79" s="1"/>
      <c r="G79" s="19"/>
      <c r="H79" s="19"/>
      <c r="I79" s="62"/>
      <c r="J79" s="67">
        <v>20000</v>
      </c>
    </row>
    <row r="80" spans="1:10" ht="15.75" customHeight="1">
      <c r="A80" s="4"/>
      <c r="B80" s="64"/>
      <c r="C80" s="59"/>
      <c r="D80" s="110"/>
      <c r="E80" s="60" t="s">
        <v>82</v>
      </c>
      <c r="F80" s="1"/>
      <c r="G80" s="2"/>
      <c r="H80" s="2"/>
      <c r="I80" s="62"/>
      <c r="J80" s="95">
        <v>11000</v>
      </c>
    </row>
    <row r="81" spans="1:10" ht="15.75" customHeight="1">
      <c r="A81" s="4"/>
      <c r="B81" s="64"/>
      <c r="C81" s="68">
        <v>2.5</v>
      </c>
      <c r="D81" s="495" t="s">
        <v>83</v>
      </c>
      <c r="E81" s="496"/>
      <c r="F81" s="111"/>
      <c r="G81" s="112">
        <v>333000</v>
      </c>
      <c r="H81" s="112" t="s">
        <v>15</v>
      </c>
      <c r="I81" s="113"/>
      <c r="J81" s="114">
        <v>301408</v>
      </c>
    </row>
    <row r="82" spans="1:10" ht="15.75" customHeight="1">
      <c r="A82" s="4"/>
      <c r="B82" s="64"/>
      <c r="C82" s="59"/>
      <c r="D82" s="494" t="s">
        <v>84</v>
      </c>
      <c r="E82" s="65" t="s">
        <v>85</v>
      </c>
      <c r="F82" s="4"/>
      <c r="G82" s="30">
        <v>6425</v>
      </c>
      <c r="H82" s="30"/>
      <c r="I82" s="62"/>
      <c r="J82" s="67">
        <v>3000</v>
      </c>
    </row>
    <row r="83" spans="1:10" ht="15.75" customHeight="1">
      <c r="A83" s="4"/>
      <c r="B83" s="64"/>
      <c r="C83" s="59"/>
      <c r="D83" s="493"/>
      <c r="E83" s="65" t="s">
        <v>86</v>
      </c>
      <c r="F83" s="1"/>
      <c r="G83" s="30">
        <v>6425</v>
      </c>
      <c r="H83" s="30"/>
      <c r="I83" s="62"/>
      <c r="J83" s="67">
        <v>6000</v>
      </c>
    </row>
    <row r="84" spans="1:10" ht="15.75" customHeight="1">
      <c r="A84" s="4"/>
      <c r="B84" s="64"/>
      <c r="C84" s="59"/>
      <c r="D84" s="493"/>
      <c r="E84" s="65" t="s">
        <v>19</v>
      </c>
      <c r="F84" s="1"/>
      <c r="G84" s="30" t="s">
        <v>15</v>
      </c>
      <c r="H84" s="30"/>
      <c r="I84" s="62"/>
      <c r="J84" s="67">
        <v>15000</v>
      </c>
    </row>
    <row r="85" spans="1:10" ht="15.75" customHeight="1">
      <c r="A85" s="4"/>
      <c r="B85" s="64"/>
      <c r="C85" s="59"/>
      <c r="D85" s="493"/>
      <c r="E85" s="65" t="s">
        <v>87</v>
      </c>
      <c r="F85" s="1"/>
      <c r="G85" s="33">
        <v>12850</v>
      </c>
      <c r="H85" s="33"/>
      <c r="I85" s="62"/>
      <c r="J85" s="95">
        <v>7000</v>
      </c>
    </row>
    <row r="86" spans="1:10" ht="15.75" customHeight="1">
      <c r="A86" s="4"/>
      <c r="B86" s="64"/>
      <c r="C86" s="68">
        <v>2.6</v>
      </c>
      <c r="D86" s="495" t="s">
        <v>88</v>
      </c>
      <c r="E86" s="496"/>
      <c r="F86" s="88"/>
      <c r="G86" s="70">
        <v>25700</v>
      </c>
      <c r="H86" s="70" t="s">
        <v>15</v>
      </c>
      <c r="I86" s="72"/>
      <c r="J86" s="73">
        <v>31000</v>
      </c>
    </row>
    <row r="87" spans="1:10" ht="15.75" customHeight="1">
      <c r="A87" s="4"/>
      <c r="B87" s="64"/>
      <c r="C87" s="59"/>
      <c r="D87" s="494" t="s">
        <v>89</v>
      </c>
      <c r="E87" s="65" t="s">
        <v>90</v>
      </c>
      <c r="F87" s="1"/>
      <c r="G87" s="30">
        <v>4487</v>
      </c>
      <c r="H87" s="19"/>
      <c r="I87" s="62"/>
      <c r="J87" s="67">
        <v>13000</v>
      </c>
    </row>
    <row r="88" spans="1:10" ht="15.75" customHeight="1">
      <c r="A88" s="4"/>
      <c r="B88" s="64"/>
      <c r="C88" s="59"/>
      <c r="D88" s="493"/>
      <c r="E88" s="65" t="s">
        <v>91</v>
      </c>
      <c r="F88" s="1"/>
      <c r="G88" s="30">
        <v>4487</v>
      </c>
      <c r="H88" s="19"/>
      <c r="I88" s="62"/>
      <c r="J88" s="67">
        <v>5000</v>
      </c>
    </row>
    <row r="89" spans="1:10" ht="15.75" customHeight="1">
      <c r="A89" s="4"/>
      <c r="B89" s="64"/>
      <c r="C89" s="59"/>
      <c r="D89" s="493"/>
      <c r="E89" s="65" t="s">
        <v>92</v>
      </c>
      <c r="F89" s="1"/>
      <c r="G89" s="19"/>
      <c r="H89" s="19"/>
      <c r="I89" s="62"/>
      <c r="J89" s="67">
        <v>90000</v>
      </c>
    </row>
    <row r="90" spans="1:10" ht="15.75" customHeight="1">
      <c r="A90" s="4"/>
      <c r="B90" s="64"/>
      <c r="C90" s="59"/>
      <c r="D90" s="493"/>
      <c r="E90" s="65" t="s">
        <v>93</v>
      </c>
      <c r="F90" s="1"/>
      <c r="G90" s="30">
        <v>4487</v>
      </c>
      <c r="H90" s="19"/>
      <c r="I90" s="62"/>
      <c r="J90" s="67">
        <v>5000</v>
      </c>
    </row>
    <row r="91" spans="1:10" ht="15.75" customHeight="1">
      <c r="A91" s="4"/>
      <c r="B91" s="64"/>
      <c r="C91" s="59"/>
      <c r="D91" s="493"/>
      <c r="E91" s="65" t="s">
        <v>94</v>
      </c>
      <c r="F91" s="1"/>
      <c r="G91" s="19"/>
      <c r="H91" s="19"/>
      <c r="I91" s="62"/>
      <c r="J91" s="67">
        <v>15000</v>
      </c>
    </row>
    <row r="92" spans="1:10" ht="15.75" customHeight="1">
      <c r="A92" s="4"/>
      <c r="B92" s="64"/>
      <c r="C92" s="59"/>
      <c r="D92" s="493"/>
      <c r="E92" s="65" t="s">
        <v>95</v>
      </c>
      <c r="F92" s="1"/>
      <c r="G92" s="30">
        <v>4487</v>
      </c>
      <c r="H92" s="19"/>
      <c r="I92" s="62"/>
      <c r="J92" s="67">
        <v>5000</v>
      </c>
    </row>
    <row r="93" spans="1:10" ht="15.75" customHeight="1">
      <c r="A93" s="4"/>
      <c r="B93" s="64"/>
      <c r="C93" s="59"/>
      <c r="D93" s="493"/>
      <c r="E93" s="65" t="s">
        <v>96</v>
      </c>
      <c r="F93" s="1"/>
      <c r="G93" s="30">
        <v>4487</v>
      </c>
      <c r="H93" s="19"/>
      <c r="I93" s="62"/>
      <c r="J93" s="67">
        <v>25000</v>
      </c>
    </row>
    <row r="94" spans="1:10" ht="15.75" customHeight="1">
      <c r="A94" s="4"/>
      <c r="B94" s="64"/>
      <c r="C94" s="59"/>
      <c r="D94" s="493"/>
      <c r="E94" s="65" t="s">
        <v>97</v>
      </c>
      <c r="F94" s="1"/>
      <c r="G94" s="33">
        <v>37955</v>
      </c>
      <c r="H94" s="101">
        <v>15000</v>
      </c>
      <c r="I94" s="62"/>
      <c r="J94" s="95">
        <v>25000</v>
      </c>
    </row>
    <row r="95" spans="1:10" ht="15.75" customHeight="1">
      <c r="A95" s="4"/>
      <c r="B95" s="64"/>
      <c r="C95" s="68">
        <v>2.7</v>
      </c>
      <c r="D95" s="495" t="s">
        <v>98</v>
      </c>
      <c r="E95" s="496"/>
      <c r="F95" s="88"/>
      <c r="G95" s="70">
        <v>60390</v>
      </c>
      <c r="H95" s="70">
        <v>15000</v>
      </c>
      <c r="I95" s="72"/>
      <c r="J95" s="73">
        <v>183000</v>
      </c>
    </row>
    <row r="96" spans="1:10" ht="15.75" customHeight="1">
      <c r="A96" s="4"/>
      <c r="B96" s="64"/>
      <c r="C96" s="59"/>
      <c r="D96" s="4"/>
      <c r="E96" s="115" t="s">
        <v>99</v>
      </c>
      <c r="F96" s="1"/>
      <c r="G96" s="102" t="s">
        <v>15</v>
      </c>
      <c r="H96" s="19"/>
      <c r="I96" s="62"/>
      <c r="J96" s="67">
        <v>6736</v>
      </c>
    </row>
    <row r="97" spans="1:10" ht="15.75" customHeight="1">
      <c r="A97" s="4"/>
      <c r="B97" s="64"/>
      <c r="C97" s="59"/>
      <c r="D97" s="4"/>
      <c r="E97" s="62"/>
      <c r="F97" s="1"/>
      <c r="G97" s="102" t="s">
        <v>15</v>
      </c>
      <c r="H97" s="19"/>
      <c r="I97" s="62"/>
      <c r="J97" s="63" t="s">
        <v>5</v>
      </c>
    </row>
    <row r="98" spans="1:10" ht="15.75" customHeight="1">
      <c r="A98" s="4"/>
      <c r="B98" s="64"/>
      <c r="C98" s="59"/>
      <c r="D98" s="4"/>
      <c r="E98" s="62"/>
      <c r="F98" s="1"/>
      <c r="G98" s="102" t="s">
        <v>15</v>
      </c>
      <c r="H98" s="19"/>
      <c r="I98" s="62"/>
      <c r="J98" s="63" t="s">
        <v>5</v>
      </c>
    </row>
    <row r="99" spans="1:10" ht="15.75" customHeight="1">
      <c r="A99" s="4"/>
      <c r="B99" s="64"/>
      <c r="C99" s="59"/>
      <c r="D99" s="4"/>
      <c r="E99" s="62"/>
      <c r="F99" s="1"/>
      <c r="G99" s="101" t="s">
        <v>15</v>
      </c>
      <c r="H99" s="2"/>
      <c r="I99" s="62"/>
      <c r="J99" s="116" t="s">
        <v>5</v>
      </c>
    </row>
    <row r="100" spans="1:10" ht="15.75" customHeight="1">
      <c r="A100" s="4"/>
      <c r="B100" s="64"/>
      <c r="C100" s="68">
        <v>2.8</v>
      </c>
      <c r="D100" s="499" t="s">
        <v>100</v>
      </c>
      <c r="E100" s="500"/>
      <c r="F100" s="117"/>
      <c r="G100" s="89" t="s">
        <v>15</v>
      </c>
      <c r="H100" s="70" t="s">
        <v>15</v>
      </c>
      <c r="I100" s="72"/>
      <c r="J100" s="90">
        <v>6736</v>
      </c>
    </row>
    <row r="101" spans="1:10" ht="15.75" customHeight="1">
      <c r="A101" s="4"/>
      <c r="B101" s="118"/>
      <c r="C101" s="119"/>
      <c r="D101" s="120"/>
      <c r="E101" s="121" t="s">
        <v>101</v>
      </c>
      <c r="F101" s="117"/>
      <c r="G101" s="122" t="e">
        <v>#REF!</v>
      </c>
      <c r="H101" s="122" t="e">
        <v>#REF!</v>
      </c>
      <c r="I101" s="72"/>
      <c r="J101" s="90">
        <v>14538244</v>
      </c>
    </row>
    <row r="102" spans="1:10" ht="15.75" customHeight="1">
      <c r="A102" s="4"/>
      <c r="B102" s="4"/>
      <c r="C102" s="11"/>
      <c r="D102" s="4"/>
      <c r="E102" s="56"/>
      <c r="F102" s="1"/>
      <c r="G102" s="123"/>
      <c r="H102" s="123"/>
      <c r="I102" s="124"/>
      <c r="J102" s="125"/>
    </row>
    <row r="103" spans="1:10" ht="15.75" customHeight="1">
      <c r="A103" s="4"/>
      <c r="B103" s="4"/>
      <c r="C103" s="11"/>
      <c r="D103" s="62"/>
      <c r="E103" s="126" t="s">
        <v>102</v>
      </c>
      <c r="F103" s="5"/>
      <c r="G103" s="127" t="e">
        <v>#REF!</v>
      </c>
      <c r="H103" s="127" t="e">
        <v>#REF!</v>
      </c>
      <c r="I103" s="125"/>
      <c r="J103" s="128">
        <v>0</v>
      </c>
    </row>
    <row r="104" spans="1:10" ht="15.75" customHeight="1">
      <c r="A104" s="4"/>
      <c r="B104" s="4"/>
      <c r="C104" s="11"/>
      <c r="D104" s="4"/>
      <c r="E104" s="4"/>
      <c r="F104" s="4"/>
      <c r="G104" s="19"/>
      <c r="H104" s="19"/>
      <c r="I104" s="4"/>
      <c r="J104" s="4"/>
    </row>
    <row r="105" spans="1:10" ht="15.75" customHeight="1">
      <c r="A105" s="4"/>
      <c r="B105" s="4"/>
      <c r="C105" s="11"/>
      <c r="D105" s="4"/>
      <c r="E105" s="4"/>
      <c r="F105" s="4"/>
      <c r="G105" s="129" t="e">
        <v>#REF!</v>
      </c>
      <c r="H105" s="19"/>
      <c r="I105" s="493"/>
      <c r="J105" s="493"/>
    </row>
    <row r="106" spans="1:10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5.75" customHeight="1"/>
    <row r="307" spans="1:10" ht="15.75" customHeight="1"/>
    <row r="308" spans="1:10" ht="15.75" customHeight="1"/>
    <row r="309" spans="1:10" ht="15.75" customHeight="1"/>
    <row r="310" spans="1:10" ht="15.75" customHeight="1"/>
    <row r="311" spans="1:10" ht="15.75" customHeight="1"/>
    <row r="312" spans="1:10" ht="15.75" customHeight="1"/>
    <row r="313" spans="1:10" ht="15.75" customHeight="1"/>
    <row r="314" spans="1:10" ht="15.75" customHeight="1"/>
    <row r="315" spans="1:10" ht="15.75" customHeight="1"/>
    <row r="316" spans="1:10" ht="15.75" customHeight="1"/>
    <row r="317" spans="1:10" ht="15.75" customHeight="1"/>
    <row r="318" spans="1:10" ht="15.75" customHeight="1"/>
    <row r="319" spans="1:10" ht="15.75" customHeight="1"/>
    <row r="320" spans="1:1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15:D17"/>
    <mergeCell ref="D19:D25"/>
    <mergeCell ref="D27:D28"/>
    <mergeCell ref="D33:D34"/>
    <mergeCell ref="D35:E35"/>
    <mergeCell ref="D36:D37"/>
    <mergeCell ref="D38:E38"/>
    <mergeCell ref="D39:D47"/>
    <mergeCell ref="D48:D51"/>
    <mergeCell ref="D52:E52"/>
    <mergeCell ref="D53:D61"/>
    <mergeCell ref="D62:D65"/>
    <mergeCell ref="D66:E66"/>
    <mergeCell ref="D70:E70"/>
    <mergeCell ref="D100:E100"/>
    <mergeCell ref="I105:J105"/>
    <mergeCell ref="D67:D69"/>
    <mergeCell ref="D71:D78"/>
    <mergeCell ref="D81:E81"/>
    <mergeCell ref="D82:D85"/>
    <mergeCell ref="D86:E86"/>
    <mergeCell ref="D87:D94"/>
    <mergeCell ref="D95:E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7" sqref="Q7"/>
    </sheetView>
  </sheetViews>
  <sheetFormatPr defaultColWidth="14.42578125" defaultRowHeight="15" customHeight="1"/>
  <cols>
    <col min="1" max="1" width="8.85546875" customWidth="1"/>
    <col min="2" max="2" width="21.7109375" customWidth="1"/>
    <col min="3" max="3" width="8" customWidth="1"/>
    <col min="4" max="4" width="11.85546875" customWidth="1"/>
    <col min="5" max="5" width="14" customWidth="1"/>
    <col min="6" max="6" width="12.85546875" customWidth="1"/>
    <col min="7" max="7" width="12.42578125" customWidth="1"/>
    <col min="8" max="8" width="12.7109375" customWidth="1"/>
    <col min="9" max="9" width="12.140625" customWidth="1"/>
    <col min="10" max="10" width="12.28515625" customWidth="1"/>
    <col min="11" max="12" width="13" customWidth="1"/>
    <col min="13" max="14" width="12.7109375" customWidth="1"/>
    <col min="15" max="17" width="11.85546875" customWidth="1"/>
    <col min="18" max="18" width="2.42578125" customWidth="1"/>
    <col min="19" max="19" width="14.42578125" customWidth="1"/>
    <col min="20" max="20" width="4.85546875" customWidth="1"/>
    <col min="21" max="21" width="14.42578125" customWidth="1"/>
    <col min="22" max="22" width="11" customWidth="1"/>
    <col min="23" max="23" width="12.28515625" customWidth="1"/>
  </cols>
  <sheetData>
    <row r="1" spans="1:23">
      <c r="A1" s="130" t="s">
        <v>103</v>
      </c>
      <c r="B1" s="131"/>
      <c r="C1" s="131"/>
      <c r="D1" s="131"/>
      <c r="E1" s="132"/>
      <c r="F1" s="131"/>
      <c r="G1" s="131"/>
      <c r="H1" s="131"/>
      <c r="I1" s="131"/>
      <c r="J1" s="131"/>
      <c r="K1" s="131"/>
      <c r="L1" s="133"/>
      <c r="M1" s="133"/>
      <c r="N1" s="131"/>
      <c r="O1" s="131"/>
      <c r="P1" s="131"/>
      <c r="Q1" s="131"/>
      <c r="R1" s="131"/>
      <c r="S1" s="134"/>
    </row>
    <row r="2" spans="1:23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4"/>
      <c r="U2" s="135"/>
      <c r="V2" s="136"/>
    </row>
    <row r="3" spans="1:23">
      <c r="A3" s="137" t="s">
        <v>105</v>
      </c>
      <c r="B3" s="138"/>
      <c r="C3" s="131"/>
      <c r="D3" s="131"/>
      <c r="E3" s="131"/>
      <c r="F3" s="131"/>
      <c r="G3" s="131"/>
      <c r="H3" s="139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4"/>
    </row>
    <row r="4" spans="1:23">
      <c r="A4" s="130"/>
      <c r="B4" s="131"/>
      <c r="C4" s="131"/>
      <c r="D4" s="140"/>
      <c r="E4" s="510" t="s">
        <v>106</v>
      </c>
      <c r="F4" s="511"/>
      <c r="G4" s="511"/>
      <c r="H4" s="511"/>
      <c r="I4" s="512"/>
      <c r="J4" s="511"/>
      <c r="K4" s="511"/>
      <c r="L4" s="141"/>
      <c r="M4" s="141"/>
      <c r="N4" s="141"/>
      <c r="O4" s="142"/>
      <c r="P4" s="143" t="s">
        <v>107</v>
      </c>
      <c r="Q4" s="144" t="s">
        <v>108</v>
      </c>
      <c r="R4" s="131"/>
      <c r="S4" s="145" t="s">
        <v>107</v>
      </c>
      <c r="U4" s="146" t="s">
        <v>109</v>
      </c>
      <c r="V4" s="146" t="s">
        <v>110</v>
      </c>
      <c r="W4" s="146" t="s">
        <v>111</v>
      </c>
    </row>
    <row r="5" spans="1:23">
      <c r="A5" s="130"/>
      <c r="B5" s="131"/>
      <c r="C5" s="131"/>
      <c r="D5" s="147">
        <v>45129</v>
      </c>
      <c r="E5" s="147">
        <v>45160</v>
      </c>
      <c r="F5" s="147">
        <v>45191</v>
      </c>
      <c r="G5" s="147">
        <v>45221</v>
      </c>
      <c r="H5" s="147">
        <v>45252</v>
      </c>
      <c r="I5" s="147">
        <v>45282</v>
      </c>
      <c r="J5" s="147">
        <v>45313</v>
      </c>
      <c r="K5" s="147">
        <v>45344</v>
      </c>
      <c r="L5" s="147">
        <v>45373</v>
      </c>
      <c r="M5" s="147">
        <v>45404</v>
      </c>
      <c r="N5" s="147">
        <v>45434</v>
      </c>
      <c r="O5" s="147">
        <v>45465</v>
      </c>
      <c r="P5" s="148" t="s">
        <v>112</v>
      </c>
      <c r="Q5" s="149" t="s">
        <v>113</v>
      </c>
      <c r="R5" s="131"/>
      <c r="S5" s="150" t="s">
        <v>113</v>
      </c>
      <c r="U5" s="151" t="s">
        <v>11</v>
      </c>
      <c r="V5" s="152" t="s">
        <v>114</v>
      </c>
      <c r="W5" s="152" t="s">
        <v>114</v>
      </c>
    </row>
    <row r="6" spans="1:23">
      <c r="A6" s="130" t="s">
        <v>115</v>
      </c>
      <c r="B6" s="131"/>
      <c r="C6" s="13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5"/>
      <c r="R6" s="131"/>
      <c r="S6" s="156"/>
      <c r="U6" s="157"/>
      <c r="V6" s="157"/>
      <c r="W6" s="158"/>
    </row>
    <row r="7" spans="1:23" ht="15.75">
      <c r="A7" s="130"/>
      <c r="B7" s="131" t="s">
        <v>116</v>
      </c>
      <c r="C7" s="131"/>
      <c r="D7" s="159" t="s">
        <v>15</v>
      </c>
      <c r="E7" s="160">
        <v>1251856.6000000001</v>
      </c>
      <c r="F7" s="160">
        <v>1251856.6000000001</v>
      </c>
      <c r="G7" s="160">
        <v>1251856.6000000001</v>
      </c>
      <c r="H7" s="160">
        <v>1251856.6000000001</v>
      </c>
      <c r="I7" s="160">
        <v>1251856.6000000001</v>
      </c>
      <c r="J7" s="160">
        <v>1251856.6000000001</v>
      </c>
      <c r="K7" s="160">
        <v>1251856.6000000001</v>
      </c>
      <c r="L7" s="160">
        <v>1251856.6000000001</v>
      </c>
      <c r="M7" s="160">
        <v>1251856.6000000001</v>
      </c>
      <c r="N7" s="160">
        <v>1251856.6000000001</v>
      </c>
      <c r="O7" s="160" t="s">
        <v>15</v>
      </c>
      <c r="P7" s="161">
        <f>SUM(D7:O7)</f>
        <v>12518565.999999998</v>
      </c>
      <c r="Q7" s="162">
        <v>0</v>
      </c>
      <c r="R7" s="139"/>
      <c r="S7" s="163">
        <f>P7+Q7</f>
        <v>12518565.999999998</v>
      </c>
      <c r="T7" s="164"/>
      <c r="U7" s="165">
        <v>11064796.550000001</v>
      </c>
      <c r="V7" s="165">
        <f t="shared" ref="V7:V13" si="0">S7-U7</f>
        <v>1453769.4499999974</v>
      </c>
      <c r="W7" s="166">
        <f t="shared" ref="W7:W8" si="1">V7/U7</f>
        <v>0.1313869119446211</v>
      </c>
    </row>
    <row r="8" spans="1:23" ht="15.75">
      <c r="A8" s="130"/>
      <c r="B8" s="131" t="s">
        <v>117</v>
      </c>
      <c r="C8" s="131"/>
      <c r="D8" s="159" t="s">
        <v>15</v>
      </c>
      <c r="E8" s="160" t="s">
        <v>15</v>
      </c>
      <c r="F8" s="160" t="s">
        <v>15</v>
      </c>
      <c r="G8" s="160">
        <v>160858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 t="s">
        <v>15</v>
      </c>
      <c r="N8" s="160" t="s">
        <v>15</v>
      </c>
      <c r="O8" s="160" t="s">
        <v>15</v>
      </c>
      <c r="P8" s="167">
        <f t="shared" ref="P7:P17" si="2">SUM(D8:O8)</f>
        <v>160858</v>
      </c>
      <c r="Q8" s="168">
        <v>0</v>
      </c>
      <c r="R8" s="169"/>
      <c r="S8" s="170">
        <f t="shared" ref="S7:S17" si="3">P8+Q8</f>
        <v>160858</v>
      </c>
      <c r="T8" s="171"/>
      <c r="U8" s="172">
        <v>0</v>
      </c>
      <c r="V8" s="172">
        <f t="shared" si="0"/>
        <v>160858</v>
      </c>
      <c r="W8" s="166" t="e">
        <f t="shared" si="1"/>
        <v>#DIV/0!</v>
      </c>
    </row>
    <row r="9" spans="1:23" ht="15.75">
      <c r="A9" s="130"/>
      <c r="B9" s="131" t="s">
        <v>118</v>
      </c>
      <c r="C9" s="131"/>
      <c r="D9" s="159" t="s">
        <v>15</v>
      </c>
      <c r="E9" s="160">
        <v>258406.67</v>
      </c>
      <c r="F9" s="160">
        <v>0</v>
      </c>
      <c r="G9" s="160" t="s">
        <v>15</v>
      </c>
      <c r="H9" s="160">
        <v>0</v>
      </c>
      <c r="I9" s="160">
        <v>23000</v>
      </c>
      <c r="J9" s="160">
        <v>0</v>
      </c>
      <c r="K9" s="160">
        <v>86800</v>
      </c>
      <c r="L9" s="160">
        <v>0</v>
      </c>
      <c r="M9" s="160">
        <v>30000</v>
      </c>
      <c r="N9" s="160">
        <v>50000</v>
      </c>
      <c r="O9" s="160">
        <v>327013.33</v>
      </c>
      <c r="P9" s="167">
        <f t="shared" si="2"/>
        <v>775220</v>
      </c>
      <c r="Q9" s="168">
        <v>0</v>
      </c>
      <c r="R9" s="153"/>
      <c r="S9" s="170">
        <f t="shared" si="3"/>
        <v>775220</v>
      </c>
      <c r="T9" s="171"/>
      <c r="U9" s="172">
        <v>1930720</v>
      </c>
      <c r="V9" s="172">
        <f t="shared" si="0"/>
        <v>-1155500</v>
      </c>
      <c r="W9" s="166">
        <v>1</v>
      </c>
    </row>
    <row r="10" spans="1:23" ht="15.75">
      <c r="A10" s="130"/>
      <c r="B10" s="131" t="s">
        <v>119</v>
      </c>
      <c r="C10" s="131"/>
      <c r="D10" s="159" t="s">
        <v>15</v>
      </c>
      <c r="E10" s="160">
        <v>18500</v>
      </c>
      <c r="F10" s="160">
        <v>18500</v>
      </c>
      <c r="G10" s="160">
        <v>17000</v>
      </c>
      <c r="H10" s="160">
        <v>17000</v>
      </c>
      <c r="I10" s="160">
        <v>12000</v>
      </c>
      <c r="J10" s="160">
        <v>18500</v>
      </c>
      <c r="K10" s="160">
        <v>17000</v>
      </c>
      <c r="L10" s="160">
        <v>21000</v>
      </c>
      <c r="M10" s="160">
        <v>17500</v>
      </c>
      <c r="N10" s="160">
        <v>18000</v>
      </c>
      <c r="O10" s="160"/>
      <c r="P10" s="167">
        <f t="shared" si="2"/>
        <v>175000</v>
      </c>
      <c r="Q10" s="168">
        <v>0</v>
      </c>
      <c r="R10" s="169"/>
      <c r="S10" s="170">
        <f t="shared" si="3"/>
        <v>175000</v>
      </c>
      <c r="T10" s="171"/>
      <c r="U10" s="172">
        <v>0</v>
      </c>
      <c r="V10" s="172">
        <f t="shared" si="0"/>
        <v>175000</v>
      </c>
      <c r="W10" s="166" t="e">
        <f t="shared" ref="W10:W13" si="4">V10/U10</f>
        <v>#DIV/0!</v>
      </c>
    </row>
    <row r="11" spans="1:23" ht="15.75">
      <c r="A11" s="130"/>
      <c r="B11" s="131" t="s">
        <v>120</v>
      </c>
      <c r="C11" s="131"/>
      <c r="D11" s="173">
        <v>10000</v>
      </c>
      <c r="E11" s="160">
        <v>17000</v>
      </c>
      <c r="F11" s="160">
        <v>15000</v>
      </c>
      <c r="G11" s="160">
        <v>17000</v>
      </c>
      <c r="H11" s="160">
        <v>35000</v>
      </c>
      <c r="I11" s="160">
        <v>40000</v>
      </c>
      <c r="J11" s="160">
        <v>4000</v>
      </c>
      <c r="K11" s="160">
        <v>4000</v>
      </c>
      <c r="L11" s="160">
        <v>34000</v>
      </c>
      <c r="M11" s="160">
        <v>6000</v>
      </c>
      <c r="N11" s="160">
        <v>10000</v>
      </c>
      <c r="O11" s="160">
        <v>8000</v>
      </c>
      <c r="P11" s="167">
        <f t="shared" si="2"/>
        <v>200000</v>
      </c>
      <c r="Q11" s="174">
        <v>0</v>
      </c>
      <c r="R11" s="169"/>
      <c r="S11" s="170">
        <f t="shared" si="3"/>
        <v>200000</v>
      </c>
      <c r="T11" s="175"/>
      <c r="U11" s="172">
        <v>233000.37</v>
      </c>
      <c r="V11" s="172">
        <f t="shared" si="0"/>
        <v>-33000.369999999995</v>
      </c>
      <c r="W11" s="166">
        <f t="shared" si="4"/>
        <v>-0.14163226436078191</v>
      </c>
    </row>
    <row r="12" spans="1:23" ht="15.75">
      <c r="A12" s="130"/>
      <c r="B12" s="131" t="s">
        <v>121</v>
      </c>
      <c r="C12" s="131"/>
      <c r="D12" s="173">
        <v>0</v>
      </c>
      <c r="E12" s="160">
        <f>39360+8000</f>
        <v>47360</v>
      </c>
      <c r="F12" s="160">
        <f>32260+3500</f>
        <v>35760</v>
      </c>
      <c r="G12" s="160">
        <f t="shared" ref="G12:H12" si="5">32260+9285.5</f>
        <v>41545.5</v>
      </c>
      <c r="H12" s="160">
        <f t="shared" si="5"/>
        <v>41545.5</v>
      </c>
      <c r="I12" s="160">
        <f>31360+9285.5</f>
        <v>40645.5</v>
      </c>
      <c r="J12" s="160">
        <f>32794+9285.5</f>
        <v>42079.5</v>
      </c>
      <c r="K12" s="160">
        <f t="shared" ref="K12:L12" si="6">32793+9286</f>
        <v>42079</v>
      </c>
      <c r="L12" s="160">
        <f t="shared" si="6"/>
        <v>42079</v>
      </c>
      <c r="M12" s="160">
        <f>31360+9286</f>
        <v>40646</v>
      </c>
      <c r="N12" s="160">
        <f>31360+3500</f>
        <v>34860</v>
      </c>
      <c r="O12" s="160">
        <v>0</v>
      </c>
      <c r="P12" s="167">
        <f t="shared" si="2"/>
        <v>408600</v>
      </c>
      <c r="Q12" s="168">
        <v>0</v>
      </c>
      <c r="R12" s="169"/>
      <c r="S12" s="170">
        <f t="shared" si="3"/>
        <v>408600</v>
      </c>
      <c r="T12" s="175"/>
      <c r="U12" s="172">
        <v>18979</v>
      </c>
      <c r="V12" s="172">
        <f t="shared" si="0"/>
        <v>389621</v>
      </c>
      <c r="W12" s="166">
        <f t="shared" si="4"/>
        <v>20.529058433004899</v>
      </c>
    </row>
    <row r="13" spans="1:23" ht="15.75">
      <c r="A13" s="130"/>
      <c r="B13" s="131" t="s">
        <v>122</v>
      </c>
      <c r="C13" s="131"/>
      <c r="D13" s="173">
        <v>21818.18</v>
      </c>
      <c r="E13" s="176">
        <v>21818.18</v>
      </c>
      <c r="F13" s="176">
        <v>21818.18</v>
      </c>
      <c r="G13" s="176">
        <v>21818.18</v>
      </c>
      <c r="H13" s="176">
        <v>21818.18</v>
      </c>
      <c r="I13" s="176">
        <v>21818.18</v>
      </c>
      <c r="J13" s="176">
        <v>21818.18</v>
      </c>
      <c r="K13" s="176">
        <v>21818.18</v>
      </c>
      <c r="L13" s="176">
        <v>21818.18</v>
      </c>
      <c r="M13" s="176">
        <v>21818.18</v>
      </c>
      <c r="N13" s="176">
        <v>21818.18</v>
      </c>
      <c r="O13" s="160" t="s">
        <v>15</v>
      </c>
      <c r="P13" s="167">
        <f t="shared" si="2"/>
        <v>239999.97999999995</v>
      </c>
      <c r="Q13" s="168">
        <v>0</v>
      </c>
      <c r="R13" s="169"/>
      <c r="S13" s="170">
        <f t="shared" si="3"/>
        <v>239999.97999999995</v>
      </c>
      <c r="T13" s="175"/>
      <c r="U13" s="172">
        <v>20688.54</v>
      </c>
      <c r="V13" s="172">
        <f t="shared" si="0"/>
        <v>219311.43999999994</v>
      </c>
      <c r="W13" s="166">
        <f t="shared" si="4"/>
        <v>10.600624306983477</v>
      </c>
    </row>
    <row r="14" spans="1:23" ht="15.75">
      <c r="A14" s="130"/>
      <c r="B14" s="131" t="s">
        <v>27</v>
      </c>
      <c r="C14" s="131"/>
      <c r="D14" s="173" t="s">
        <v>15</v>
      </c>
      <c r="E14" s="160">
        <v>5000</v>
      </c>
      <c r="F14" s="160">
        <v>5000</v>
      </c>
      <c r="G14" s="160">
        <v>3500</v>
      </c>
      <c r="H14" s="160">
        <v>3000</v>
      </c>
      <c r="I14" s="160">
        <v>3000</v>
      </c>
      <c r="J14" s="160">
        <v>5000</v>
      </c>
      <c r="K14" s="160">
        <v>3000</v>
      </c>
      <c r="L14" s="160">
        <v>3000</v>
      </c>
      <c r="M14" s="160">
        <v>3000</v>
      </c>
      <c r="N14" s="160">
        <v>1000</v>
      </c>
      <c r="O14" s="160">
        <v>500</v>
      </c>
      <c r="P14" s="167">
        <f t="shared" si="2"/>
        <v>35000</v>
      </c>
      <c r="Q14" s="168"/>
      <c r="R14" s="169"/>
      <c r="S14" s="170">
        <f t="shared" si="3"/>
        <v>35000</v>
      </c>
      <c r="T14" s="171"/>
      <c r="U14" s="172"/>
      <c r="V14" s="172"/>
      <c r="W14" s="166"/>
    </row>
    <row r="15" spans="1:23" ht="15.75">
      <c r="A15" s="130"/>
      <c r="B15" s="131" t="s">
        <v>123</v>
      </c>
      <c r="C15" s="131"/>
      <c r="D15" s="173">
        <v>2083.33</v>
      </c>
      <c r="E15" s="176">
        <v>2083.33</v>
      </c>
      <c r="F15" s="176">
        <v>2083.33</v>
      </c>
      <c r="G15" s="176">
        <v>2083.33</v>
      </c>
      <c r="H15" s="176">
        <v>2083.33</v>
      </c>
      <c r="I15" s="176">
        <v>2083.33</v>
      </c>
      <c r="J15" s="176">
        <v>2083.33</v>
      </c>
      <c r="K15" s="176">
        <v>2083.33</v>
      </c>
      <c r="L15" s="176">
        <v>2083.33</v>
      </c>
      <c r="M15" s="176">
        <v>2083.33</v>
      </c>
      <c r="N15" s="176">
        <v>2083.33</v>
      </c>
      <c r="O15" s="176">
        <v>2083.33</v>
      </c>
      <c r="P15" s="167">
        <f t="shared" si="2"/>
        <v>24999.960000000006</v>
      </c>
      <c r="Q15" s="168">
        <v>0</v>
      </c>
      <c r="R15" s="169"/>
      <c r="S15" s="170">
        <f t="shared" si="3"/>
        <v>24999.960000000006</v>
      </c>
      <c r="T15" s="171"/>
      <c r="U15" s="172">
        <v>172290.78</v>
      </c>
      <c r="V15" s="172">
        <f t="shared" ref="V15:V17" si="7">S15-U15</f>
        <v>-147290.82</v>
      </c>
      <c r="W15" s="166">
        <f t="shared" ref="W15:W17" si="8">V15/U15</f>
        <v>-0.85489670428098363</v>
      </c>
    </row>
    <row r="16" spans="1:23" ht="15.75">
      <c r="A16" s="130"/>
      <c r="B16" s="131" t="s">
        <v>124</v>
      </c>
      <c r="C16" s="131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67">
        <f t="shared" si="2"/>
        <v>0</v>
      </c>
      <c r="Q16" s="168">
        <v>0</v>
      </c>
      <c r="R16" s="169"/>
      <c r="S16" s="170">
        <f t="shared" si="3"/>
        <v>0</v>
      </c>
      <c r="T16" s="171"/>
      <c r="U16" s="172">
        <v>1167.2</v>
      </c>
      <c r="V16" s="172">
        <f t="shared" si="7"/>
        <v>-1167.2</v>
      </c>
      <c r="W16" s="177">
        <f t="shared" si="8"/>
        <v>-1</v>
      </c>
    </row>
    <row r="17" spans="1:23">
      <c r="A17" s="130" t="s">
        <v>125</v>
      </c>
      <c r="B17" s="130"/>
      <c r="C17" s="130"/>
      <c r="D17" s="178">
        <f t="shared" ref="D17:O17" si="9">SUM(D6:D16)</f>
        <v>33901.51</v>
      </c>
      <c r="E17" s="178">
        <f t="shared" si="9"/>
        <v>1622024.78</v>
      </c>
      <c r="F17" s="178">
        <f t="shared" si="9"/>
        <v>1350018.11</v>
      </c>
      <c r="G17" s="178">
        <f t="shared" si="9"/>
        <v>1515661.61</v>
      </c>
      <c r="H17" s="178">
        <f t="shared" si="9"/>
        <v>1372303.61</v>
      </c>
      <c r="I17" s="178">
        <f t="shared" si="9"/>
        <v>1394403.61</v>
      </c>
      <c r="J17" s="178">
        <f t="shared" si="9"/>
        <v>1345337.61</v>
      </c>
      <c r="K17" s="178">
        <f t="shared" si="9"/>
        <v>1428637.11</v>
      </c>
      <c r="L17" s="178">
        <f t="shared" si="9"/>
        <v>1375837.11</v>
      </c>
      <c r="M17" s="178">
        <f t="shared" si="9"/>
        <v>1372904.11</v>
      </c>
      <c r="N17" s="178">
        <f t="shared" si="9"/>
        <v>1389618.11</v>
      </c>
      <c r="O17" s="178">
        <f t="shared" si="9"/>
        <v>337596.66000000003</v>
      </c>
      <c r="P17" s="179">
        <f t="shared" si="2"/>
        <v>14538243.939999999</v>
      </c>
      <c r="Q17" s="178">
        <f>SUM(Q6:Q16)</f>
        <v>0</v>
      </c>
      <c r="R17" s="131"/>
      <c r="S17" s="180">
        <f t="shared" si="3"/>
        <v>14538243.939999999</v>
      </c>
      <c r="U17" s="181">
        <f>SUM(U7:U16)</f>
        <v>13441642.439999998</v>
      </c>
      <c r="V17" s="182">
        <f t="shared" si="7"/>
        <v>1096601.5000000019</v>
      </c>
      <c r="W17" s="183">
        <f t="shared" si="8"/>
        <v>8.1582403705123555E-2</v>
      </c>
    </row>
    <row r="18" spans="1:23">
      <c r="A18" s="130"/>
      <c r="B18" s="131"/>
      <c r="C18" s="131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2"/>
      <c r="U18" s="184"/>
      <c r="V18" s="184"/>
      <c r="W18" s="185"/>
    </row>
    <row r="19" spans="1:23">
      <c r="A19" s="130" t="s">
        <v>126</v>
      </c>
      <c r="B19" s="131"/>
      <c r="C19" s="131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39"/>
      <c r="Q19" s="139"/>
      <c r="R19" s="139"/>
      <c r="S19" s="132"/>
      <c r="U19" s="184"/>
      <c r="V19" s="184"/>
      <c r="W19" s="185"/>
    </row>
    <row r="20" spans="1:23" ht="15.75">
      <c r="A20" s="130"/>
      <c r="B20" s="131" t="s">
        <v>36</v>
      </c>
      <c r="C20" s="187"/>
      <c r="D20" s="188">
        <v>1017947.85</v>
      </c>
      <c r="E20" s="189">
        <v>1022347.85</v>
      </c>
      <c r="F20" s="189">
        <v>1022347.85</v>
      </c>
      <c r="G20" s="189">
        <v>1030787.85</v>
      </c>
      <c r="H20" s="189">
        <v>1022347.83</v>
      </c>
      <c r="I20" s="189">
        <v>1023247.83</v>
      </c>
      <c r="J20" s="189">
        <v>1022248</v>
      </c>
      <c r="K20" s="189">
        <v>1022348</v>
      </c>
      <c r="L20" s="189">
        <v>1022248</v>
      </c>
      <c r="M20" s="189">
        <v>1022248</v>
      </c>
      <c r="N20" s="189">
        <v>1025098</v>
      </c>
      <c r="O20" s="189">
        <v>1018407.79</v>
      </c>
      <c r="P20" s="190">
        <f t="shared" ref="P20:P31" si="10">SUM(D20:O20)</f>
        <v>12271624.849999998</v>
      </c>
      <c r="Q20" s="191">
        <v>0</v>
      </c>
      <c r="R20" s="131"/>
      <c r="S20" s="192">
        <f t="shared" ref="S20:S28" si="11">P20+Q20</f>
        <v>12271624.849999998</v>
      </c>
      <c r="T20" s="193"/>
      <c r="U20" s="194">
        <v>11176202</v>
      </c>
      <c r="V20" s="195">
        <f t="shared" ref="V20:V28" si="12">S20-U20</f>
        <v>1095422.8499999978</v>
      </c>
      <c r="W20" s="166">
        <f t="shared" ref="W20:W28" si="13">V20/U20</f>
        <v>9.8013873586035555E-2</v>
      </c>
    </row>
    <row r="21" spans="1:23" ht="15.75" customHeight="1">
      <c r="A21" s="130"/>
      <c r="B21" s="131" t="s">
        <v>40</v>
      </c>
      <c r="C21" s="187"/>
      <c r="D21" s="196" t="s">
        <v>15</v>
      </c>
      <c r="E21" s="197">
        <v>11000</v>
      </c>
      <c r="F21" s="198">
        <v>11500</v>
      </c>
      <c r="G21" s="198">
        <v>11000</v>
      </c>
      <c r="H21" s="198">
        <v>11000</v>
      </c>
      <c r="I21" s="198">
        <v>11500</v>
      </c>
      <c r="J21" s="198">
        <v>11000</v>
      </c>
      <c r="K21" s="198">
        <v>11000</v>
      </c>
      <c r="L21" s="198">
        <v>11500</v>
      </c>
      <c r="M21" s="198">
        <v>11500</v>
      </c>
      <c r="N21" s="198">
        <v>11000</v>
      </c>
      <c r="O21" s="198" t="s">
        <v>15</v>
      </c>
      <c r="P21" s="199">
        <f t="shared" si="10"/>
        <v>112000</v>
      </c>
      <c r="Q21" s="168">
        <v>0</v>
      </c>
      <c r="R21" s="131"/>
      <c r="S21" s="156">
        <f t="shared" si="11"/>
        <v>112000</v>
      </c>
      <c r="T21" s="200"/>
      <c r="U21" s="201">
        <v>93015</v>
      </c>
      <c r="V21" s="172">
        <f t="shared" si="12"/>
        <v>18985</v>
      </c>
      <c r="W21" s="166">
        <f t="shared" si="13"/>
        <v>0.20410686448422297</v>
      </c>
    </row>
    <row r="22" spans="1:23" ht="15.75" customHeight="1">
      <c r="A22" s="130"/>
      <c r="B22" s="131" t="s">
        <v>127</v>
      </c>
      <c r="C22" s="187"/>
      <c r="D22" s="173">
        <v>84863.63</v>
      </c>
      <c r="E22" s="198">
        <v>14113.6</v>
      </c>
      <c r="F22" s="198">
        <v>7613.6</v>
      </c>
      <c r="G22" s="198">
        <v>8113.6</v>
      </c>
      <c r="H22" s="198">
        <v>7613.6</v>
      </c>
      <c r="I22" s="198">
        <v>7613.6</v>
      </c>
      <c r="J22" s="198">
        <v>8113.6</v>
      </c>
      <c r="K22" s="198">
        <v>7613.6</v>
      </c>
      <c r="L22" s="198">
        <v>7613.6</v>
      </c>
      <c r="M22" s="198">
        <v>43614</v>
      </c>
      <c r="N22" s="198">
        <v>7614</v>
      </c>
      <c r="O22" s="198" t="s">
        <v>15</v>
      </c>
      <c r="P22" s="199">
        <f t="shared" si="10"/>
        <v>204500.43000000005</v>
      </c>
      <c r="Q22" s="168">
        <v>0</v>
      </c>
      <c r="R22" s="131"/>
      <c r="S22" s="156">
        <f t="shared" si="11"/>
        <v>204500.43000000005</v>
      </c>
      <c r="T22" s="193"/>
      <c r="U22" s="201">
        <v>198245</v>
      </c>
      <c r="V22" s="172">
        <f t="shared" si="12"/>
        <v>6255.4300000000512</v>
      </c>
      <c r="W22" s="166">
        <f t="shared" si="13"/>
        <v>3.1554036671795259E-2</v>
      </c>
    </row>
    <row r="23" spans="1:23" ht="15.75" customHeight="1">
      <c r="A23" s="130"/>
      <c r="B23" s="131" t="s">
        <v>128</v>
      </c>
      <c r="C23" s="187"/>
      <c r="D23" s="173">
        <v>1500</v>
      </c>
      <c r="E23" s="198">
        <v>16300</v>
      </c>
      <c r="F23" s="198">
        <v>13400</v>
      </c>
      <c r="G23" s="198">
        <v>12300</v>
      </c>
      <c r="H23" s="198">
        <v>21800</v>
      </c>
      <c r="I23" s="198">
        <v>7100</v>
      </c>
      <c r="J23" s="198">
        <v>15700</v>
      </c>
      <c r="K23" s="198">
        <v>29000</v>
      </c>
      <c r="L23" s="198">
        <v>15900</v>
      </c>
      <c r="M23" s="198">
        <v>19500</v>
      </c>
      <c r="N23" s="198">
        <v>14050</v>
      </c>
      <c r="O23" s="198">
        <f>1600-500</f>
        <v>1100</v>
      </c>
      <c r="P23" s="199">
        <f t="shared" si="10"/>
        <v>167650</v>
      </c>
      <c r="Q23" s="168">
        <v>0</v>
      </c>
      <c r="R23" s="131"/>
      <c r="S23" s="156">
        <f t="shared" si="11"/>
        <v>167650</v>
      </c>
      <c r="T23" s="200"/>
      <c r="U23" s="201">
        <v>72344</v>
      </c>
      <c r="V23" s="172">
        <f t="shared" si="12"/>
        <v>95306</v>
      </c>
      <c r="W23" s="166">
        <f t="shared" si="13"/>
        <v>1.3174001990489881</v>
      </c>
    </row>
    <row r="24" spans="1:23" ht="15.75" customHeight="1">
      <c r="A24" s="130"/>
      <c r="B24" s="131" t="s">
        <v>129</v>
      </c>
      <c r="C24" s="187"/>
      <c r="D24" s="173">
        <v>6000</v>
      </c>
      <c r="E24" s="198">
        <v>35000</v>
      </c>
      <c r="F24" s="198">
        <v>31000</v>
      </c>
      <c r="G24" s="198">
        <v>31000</v>
      </c>
      <c r="H24" s="198">
        <v>31000</v>
      </c>
      <c r="I24" s="198">
        <v>26000</v>
      </c>
      <c r="J24" s="198">
        <v>31000</v>
      </c>
      <c r="K24" s="198">
        <v>31000</v>
      </c>
      <c r="L24" s="198">
        <v>31000</v>
      </c>
      <c r="M24" s="198">
        <v>31000</v>
      </c>
      <c r="N24" s="198">
        <v>28000</v>
      </c>
      <c r="O24" s="198" t="s">
        <v>15</v>
      </c>
      <c r="P24" s="199">
        <f t="shared" si="10"/>
        <v>312000</v>
      </c>
      <c r="Q24" s="168">
        <v>0</v>
      </c>
      <c r="R24" s="131"/>
      <c r="S24" s="156">
        <f t="shared" si="11"/>
        <v>312000</v>
      </c>
      <c r="T24" s="200"/>
      <c r="U24" s="201">
        <v>307574</v>
      </c>
      <c r="V24" s="172">
        <f t="shared" si="12"/>
        <v>4426</v>
      </c>
      <c r="W24" s="166">
        <f t="shared" si="13"/>
        <v>1.4390032967676072E-2</v>
      </c>
    </row>
    <row r="25" spans="1:23" ht="15.75" customHeight="1">
      <c r="A25" s="130"/>
      <c r="B25" s="131" t="s">
        <v>53</v>
      </c>
      <c r="C25" s="187"/>
      <c r="D25" s="173">
        <f>23125.02+12602.18+138491.68</f>
        <v>174218.88</v>
      </c>
      <c r="E25" s="198">
        <f>25750.02+12602.18+4491.68</f>
        <v>42843.88</v>
      </c>
      <c r="F25" s="198">
        <v>41953.599999999999</v>
      </c>
      <c r="G25" s="198">
        <v>85578.5</v>
      </c>
      <c r="H25" s="198">
        <v>102193.5</v>
      </c>
      <c r="I25" s="198">
        <v>47694</v>
      </c>
      <c r="J25" s="198">
        <v>48569</v>
      </c>
      <c r="K25" s="198">
        <v>51954</v>
      </c>
      <c r="L25" s="198">
        <v>41454</v>
      </c>
      <c r="M25" s="198">
        <v>55579</v>
      </c>
      <c r="N25" s="198">
        <v>42094</v>
      </c>
      <c r="O25" s="198">
        <v>83094</v>
      </c>
      <c r="P25" s="199">
        <f t="shared" si="10"/>
        <v>817226.36</v>
      </c>
      <c r="Q25" s="168">
        <v>0</v>
      </c>
      <c r="R25" s="131"/>
      <c r="S25" s="156">
        <f t="shared" si="11"/>
        <v>817226.36</v>
      </c>
      <c r="T25" s="202"/>
      <c r="U25" s="201">
        <v>794915</v>
      </c>
      <c r="V25" s="172">
        <f t="shared" si="12"/>
        <v>22311.359999999986</v>
      </c>
      <c r="W25" s="166">
        <f t="shared" si="13"/>
        <v>2.8067604712453516E-2</v>
      </c>
    </row>
    <row r="26" spans="1:23" ht="15.75" customHeight="1">
      <c r="A26" s="130"/>
      <c r="B26" s="131" t="s">
        <v>130</v>
      </c>
      <c r="C26" s="187"/>
      <c r="D26" s="173" t="s">
        <v>15</v>
      </c>
      <c r="E26" s="198">
        <v>10000</v>
      </c>
      <c r="F26" s="198">
        <v>10300</v>
      </c>
      <c r="G26" s="198">
        <v>20300</v>
      </c>
      <c r="H26" s="198">
        <v>300</v>
      </c>
      <c r="I26" s="198">
        <v>300</v>
      </c>
      <c r="J26" s="198">
        <v>300</v>
      </c>
      <c r="K26" s="198">
        <v>300</v>
      </c>
      <c r="L26" s="198">
        <v>5300</v>
      </c>
      <c r="M26" s="198">
        <v>5300</v>
      </c>
      <c r="N26" s="198">
        <v>300</v>
      </c>
      <c r="O26" s="198">
        <v>300</v>
      </c>
      <c r="P26" s="199">
        <f t="shared" si="10"/>
        <v>53000</v>
      </c>
      <c r="Q26" s="168">
        <v>0</v>
      </c>
      <c r="R26" s="131"/>
      <c r="S26" s="156">
        <f t="shared" si="11"/>
        <v>53000</v>
      </c>
      <c r="T26" s="193"/>
      <c r="U26" s="201">
        <v>87856</v>
      </c>
      <c r="V26" s="172">
        <f t="shared" si="12"/>
        <v>-34856</v>
      </c>
      <c r="W26" s="166">
        <f t="shared" si="13"/>
        <v>-0.39674012019668548</v>
      </c>
    </row>
    <row r="27" spans="1:23" ht="15.75" customHeight="1">
      <c r="A27" s="130"/>
      <c r="B27" s="131" t="s">
        <v>131</v>
      </c>
      <c r="C27" s="187"/>
      <c r="D27" s="173">
        <f>16375.78-454.55</f>
        <v>15921.230000000001</v>
      </c>
      <c r="E27" s="198">
        <v>29321</v>
      </c>
      <c r="F27" s="198">
        <v>43301</v>
      </c>
      <c r="G27" s="198">
        <v>29683</v>
      </c>
      <c r="H27" s="198">
        <v>40683</v>
      </c>
      <c r="I27" s="198">
        <v>46083</v>
      </c>
      <c r="J27" s="198">
        <v>24683</v>
      </c>
      <c r="K27" s="198">
        <v>29683</v>
      </c>
      <c r="L27" s="198">
        <v>30515.5</v>
      </c>
      <c r="M27" s="198">
        <v>36450</v>
      </c>
      <c r="N27" s="198">
        <f>17269+6736</f>
        <v>24005</v>
      </c>
      <c r="O27" s="198">
        <v>21114.5</v>
      </c>
      <c r="P27" s="199">
        <f t="shared" si="10"/>
        <v>371443.23</v>
      </c>
      <c r="Q27" s="168">
        <v>0</v>
      </c>
      <c r="R27" s="131"/>
      <c r="S27" s="156">
        <f t="shared" si="11"/>
        <v>371443.23</v>
      </c>
      <c r="T27" s="193"/>
      <c r="U27" s="201">
        <v>503727</v>
      </c>
      <c r="V27" s="172">
        <f t="shared" si="12"/>
        <v>-132283.77000000002</v>
      </c>
      <c r="W27" s="166">
        <f t="shared" si="13"/>
        <v>-0.26261004472660793</v>
      </c>
    </row>
    <row r="28" spans="1:23" ht="15.75" customHeight="1">
      <c r="A28" s="130"/>
      <c r="B28" s="131" t="s">
        <v>132</v>
      </c>
      <c r="C28" s="187"/>
      <c r="D28" s="173" t="s">
        <v>15</v>
      </c>
      <c r="E28" s="198">
        <v>4000</v>
      </c>
      <c r="F28" s="198">
        <v>8000</v>
      </c>
      <c r="G28" s="198">
        <v>1000</v>
      </c>
      <c r="H28" s="198">
        <v>0</v>
      </c>
      <c r="I28" s="198">
        <v>0</v>
      </c>
      <c r="J28" s="198">
        <v>5000</v>
      </c>
      <c r="K28" s="198">
        <v>5000</v>
      </c>
      <c r="L28" s="198">
        <v>5000</v>
      </c>
      <c r="M28" s="198" t="s">
        <v>15</v>
      </c>
      <c r="N28" s="198" t="s">
        <v>15</v>
      </c>
      <c r="O28" s="198">
        <v>3000</v>
      </c>
      <c r="P28" s="199">
        <f t="shared" si="10"/>
        <v>31000</v>
      </c>
      <c r="Q28" s="168">
        <v>0</v>
      </c>
      <c r="R28" s="131"/>
      <c r="S28" s="156">
        <f t="shared" si="11"/>
        <v>31000</v>
      </c>
      <c r="T28" s="200"/>
      <c r="U28" s="201">
        <v>44569</v>
      </c>
      <c r="V28" s="172">
        <f t="shared" si="12"/>
        <v>-13569</v>
      </c>
      <c r="W28" s="166">
        <f t="shared" si="13"/>
        <v>-0.30444928089030493</v>
      </c>
    </row>
    <row r="29" spans="1:23" ht="15.75" customHeight="1">
      <c r="A29" s="130"/>
      <c r="B29" s="131" t="s">
        <v>27</v>
      </c>
      <c r="C29" s="187"/>
      <c r="D29" s="173">
        <v>0</v>
      </c>
      <c r="E29" s="198">
        <v>5000</v>
      </c>
      <c r="F29" s="198">
        <v>5000</v>
      </c>
      <c r="G29" s="198">
        <v>3500</v>
      </c>
      <c r="H29" s="198">
        <v>3000</v>
      </c>
      <c r="I29" s="198">
        <v>3000</v>
      </c>
      <c r="J29" s="198">
        <v>5000</v>
      </c>
      <c r="K29" s="198">
        <v>3000</v>
      </c>
      <c r="L29" s="198">
        <v>3000</v>
      </c>
      <c r="M29" s="198">
        <v>3000</v>
      </c>
      <c r="N29" s="198">
        <v>1000</v>
      </c>
      <c r="O29" s="198">
        <v>500</v>
      </c>
      <c r="P29" s="199">
        <f t="shared" si="10"/>
        <v>35000</v>
      </c>
      <c r="Q29" s="203"/>
      <c r="R29" s="131"/>
      <c r="S29" s="156"/>
      <c r="T29" s="200"/>
      <c r="U29" s="201"/>
      <c r="V29" s="172"/>
      <c r="W29" s="166"/>
    </row>
    <row r="30" spans="1:23" ht="15.75" customHeight="1">
      <c r="A30" s="130"/>
      <c r="B30" s="131" t="s">
        <v>133</v>
      </c>
      <c r="C30" s="187"/>
      <c r="D30" s="173">
        <f>454.55+3750.01+7000</f>
        <v>11204.560000000001</v>
      </c>
      <c r="E30" s="198">
        <f>454.55+3750.01+5000</f>
        <v>9204.5600000000013</v>
      </c>
      <c r="F30" s="198">
        <v>9204.5</v>
      </c>
      <c r="G30" s="198">
        <v>4204.5</v>
      </c>
      <c r="H30" s="198">
        <v>4204.5</v>
      </c>
      <c r="I30" s="198">
        <v>6204.5</v>
      </c>
      <c r="J30" s="198">
        <v>4204.5</v>
      </c>
      <c r="K30" s="198">
        <v>4204.5</v>
      </c>
      <c r="L30" s="198">
        <v>4204.5</v>
      </c>
      <c r="M30" s="198">
        <v>98204.5</v>
      </c>
      <c r="N30" s="198">
        <v>4204.5</v>
      </c>
      <c r="O30" s="198">
        <v>3750</v>
      </c>
      <c r="P30" s="199">
        <f t="shared" si="10"/>
        <v>162999.62</v>
      </c>
      <c r="Q30" s="204">
        <v>0</v>
      </c>
      <c r="R30" s="131"/>
      <c r="S30" s="156">
        <f t="shared" ref="S30:S31" si="14">P30+Q30</f>
        <v>162999.62</v>
      </c>
      <c r="T30" s="200"/>
      <c r="U30" s="201">
        <v>163195</v>
      </c>
      <c r="V30" s="172">
        <f t="shared" ref="V30:V31" si="15">S30-U30</f>
        <v>-195.38000000000466</v>
      </c>
      <c r="W30" s="166">
        <f t="shared" ref="W30:W31" si="16">V30/U30</f>
        <v>-1.1972180520236813E-3</v>
      </c>
    </row>
    <row r="31" spans="1:23" ht="15.75" customHeight="1">
      <c r="A31" s="130" t="s">
        <v>134</v>
      </c>
      <c r="B31" s="130"/>
      <c r="C31" s="205"/>
      <c r="D31" s="206">
        <f t="shared" ref="D31:O31" si="17">SUM(D20:D30)</f>
        <v>1311656.1499999999</v>
      </c>
      <c r="E31" s="206">
        <f t="shared" si="17"/>
        <v>1199130.8899999999</v>
      </c>
      <c r="F31" s="206">
        <f t="shared" si="17"/>
        <v>1203620.55</v>
      </c>
      <c r="G31" s="206">
        <f t="shared" si="17"/>
        <v>1237467.45</v>
      </c>
      <c r="H31" s="206">
        <f t="shared" si="17"/>
        <v>1244142.43</v>
      </c>
      <c r="I31" s="206">
        <f t="shared" si="17"/>
        <v>1178742.93</v>
      </c>
      <c r="J31" s="206">
        <f t="shared" si="17"/>
        <v>1175818.1000000001</v>
      </c>
      <c r="K31" s="206">
        <f t="shared" si="17"/>
        <v>1195103.1000000001</v>
      </c>
      <c r="L31" s="206">
        <f t="shared" si="17"/>
        <v>1177735.6000000001</v>
      </c>
      <c r="M31" s="206">
        <f t="shared" si="17"/>
        <v>1326395.5</v>
      </c>
      <c r="N31" s="206">
        <f t="shared" si="17"/>
        <v>1157365.5</v>
      </c>
      <c r="O31" s="206">
        <f t="shared" si="17"/>
        <v>1131266.29</v>
      </c>
      <c r="P31" s="207">
        <f t="shared" si="10"/>
        <v>14538444.489999998</v>
      </c>
      <c r="Q31" s="208">
        <f>SUM(Q20:Q30)</f>
        <v>0</v>
      </c>
      <c r="R31" s="131"/>
      <c r="S31" s="180">
        <f t="shared" si="14"/>
        <v>14538444.489999998</v>
      </c>
      <c r="U31" s="181">
        <f>SUM(U20:U30)</f>
        <v>13441642</v>
      </c>
      <c r="V31" s="182">
        <f t="shared" si="15"/>
        <v>1096802.4899999984</v>
      </c>
      <c r="W31" s="183">
        <f t="shared" si="16"/>
        <v>8.1597359161923691E-2</v>
      </c>
    </row>
    <row r="32" spans="1:23" ht="15.75" customHeight="1">
      <c r="A32" s="131"/>
      <c r="B32" s="131"/>
      <c r="C32" s="131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  <c r="Q32" s="139"/>
      <c r="R32" s="131"/>
      <c r="S32" s="211"/>
      <c r="U32" s="212"/>
      <c r="V32" s="212"/>
      <c r="W32" s="166"/>
    </row>
    <row r="33" spans="1:23" ht="15.75" customHeight="1">
      <c r="A33" s="213" t="s">
        <v>135</v>
      </c>
      <c r="B33" s="131"/>
      <c r="C33" s="131"/>
      <c r="D33" s="214">
        <f t="shared" ref="D33:O33" si="18">D17-D31</f>
        <v>-1277754.6399999999</v>
      </c>
      <c r="E33" s="214">
        <f t="shared" si="18"/>
        <v>422893.89000000013</v>
      </c>
      <c r="F33" s="214">
        <f t="shared" si="18"/>
        <v>146397.56000000006</v>
      </c>
      <c r="G33" s="214">
        <f t="shared" si="18"/>
        <v>278194.16000000015</v>
      </c>
      <c r="H33" s="214">
        <f t="shared" si="18"/>
        <v>128161.18000000017</v>
      </c>
      <c r="I33" s="214">
        <f t="shared" si="18"/>
        <v>215660.68000000017</v>
      </c>
      <c r="J33" s="214">
        <f t="shared" si="18"/>
        <v>169519.51</v>
      </c>
      <c r="K33" s="214">
        <f t="shared" si="18"/>
        <v>233534.01</v>
      </c>
      <c r="L33" s="214">
        <f t="shared" si="18"/>
        <v>198101.51</v>
      </c>
      <c r="M33" s="214">
        <f t="shared" si="18"/>
        <v>46508.610000000102</v>
      </c>
      <c r="N33" s="214">
        <f t="shared" si="18"/>
        <v>232252.6100000001</v>
      </c>
      <c r="O33" s="214">
        <f t="shared" si="18"/>
        <v>-793669.63</v>
      </c>
      <c r="P33" s="179">
        <f>SUM(D33:O33)</f>
        <v>-200.54999999899883</v>
      </c>
      <c r="Q33" s="215">
        <f>Q17-Q31</f>
        <v>0</v>
      </c>
      <c r="R33" s="216"/>
      <c r="S33" s="217">
        <f>P33+Q33</f>
        <v>-200.54999999899883</v>
      </c>
      <c r="U33" s="181">
        <f>U17-U31</f>
        <v>0.43999999761581421</v>
      </c>
      <c r="V33" s="182">
        <f>S33-U33</f>
        <v>-200.98999999661464</v>
      </c>
      <c r="W33" s="183">
        <f>V33/U33</f>
        <v>-456.79545701295427</v>
      </c>
    </row>
    <row r="34" spans="1:23" ht="15.7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210"/>
      <c r="Q34" s="216"/>
      <c r="R34" s="216"/>
      <c r="S34" s="218"/>
      <c r="U34" s="212"/>
      <c r="V34" s="212"/>
      <c r="W34" s="166"/>
    </row>
    <row r="35" spans="1:23" ht="15.75" customHeight="1">
      <c r="A35" s="130" t="s">
        <v>136</v>
      </c>
      <c r="B35" s="131"/>
      <c r="C35" s="219" t="s">
        <v>137</v>
      </c>
      <c r="D35" s="220">
        <f>SUM('Cash Balances'!I11:I20)</f>
        <v>1884071.9199999997</v>
      </c>
      <c r="E35" s="221">
        <f t="shared" ref="E35:O35" si="19">D35+E33</f>
        <v>2306965.8099999996</v>
      </c>
      <c r="F35" s="221">
        <f t="shared" si="19"/>
        <v>2453363.3699999996</v>
      </c>
      <c r="G35" s="221">
        <f t="shared" si="19"/>
        <v>2731557.53</v>
      </c>
      <c r="H35" s="221">
        <f t="shared" si="19"/>
        <v>2859718.71</v>
      </c>
      <c r="I35" s="221">
        <f t="shared" si="19"/>
        <v>3075379.39</v>
      </c>
      <c r="J35" s="221">
        <f t="shared" si="19"/>
        <v>3244898.9000000004</v>
      </c>
      <c r="K35" s="221">
        <f t="shared" si="19"/>
        <v>3478432.91</v>
      </c>
      <c r="L35" s="221">
        <f t="shared" si="19"/>
        <v>3676534.42</v>
      </c>
      <c r="M35" s="221">
        <f t="shared" si="19"/>
        <v>3723043.0300000003</v>
      </c>
      <c r="N35" s="221">
        <f t="shared" si="19"/>
        <v>3955295.6400000006</v>
      </c>
      <c r="O35" s="221">
        <f t="shared" si="19"/>
        <v>3161626.0100000007</v>
      </c>
      <c r="P35" s="179">
        <f>O35</f>
        <v>3161626.0100000007</v>
      </c>
      <c r="Q35" s="221">
        <f>+O35+Q33</f>
        <v>3161626.0100000007</v>
      </c>
      <c r="R35" s="131"/>
      <c r="S35" s="180">
        <f>P35</f>
        <v>3161626.0100000007</v>
      </c>
      <c r="U35" s="181">
        <v>1746924.75</v>
      </c>
      <c r="V35" s="181">
        <f>S35-U35</f>
        <v>1414701.2600000007</v>
      </c>
      <c r="W35" s="183">
        <f>V35/U35</f>
        <v>0.80982381181559238</v>
      </c>
    </row>
    <row r="36" spans="1:23" ht="15.75" customHeight="1">
      <c r="A36" s="130"/>
      <c r="B36" s="131"/>
      <c r="C36" s="131"/>
      <c r="D36" s="222" t="s">
        <v>138</v>
      </c>
      <c r="E36" s="223" t="s">
        <v>139</v>
      </c>
      <c r="F36" s="223" t="s">
        <v>139</v>
      </c>
      <c r="G36" s="223" t="s">
        <v>139</v>
      </c>
      <c r="H36" s="223" t="s">
        <v>139</v>
      </c>
      <c r="I36" s="223" t="s">
        <v>139</v>
      </c>
      <c r="J36" s="223" t="s">
        <v>139</v>
      </c>
      <c r="K36" s="223" t="s">
        <v>139</v>
      </c>
      <c r="L36" s="223" t="s">
        <v>139</v>
      </c>
      <c r="M36" s="223" t="s">
        <v>139</v>
      </c>
      <c r="N36" s="223" t="s">
        <v>139</v>
      </c>
      <c r="O36" s="223" t="s">
        <v>139</v>
      </c>
      <c r="P36" s="224"/>
      <c r="Q36" s="223" t="s">
        <v>139</v>
      </c>
      <c r="R36" s="131"/>
      <c r="S36" s="225"/>
      <c r="U36" s="226"/>
      <c r="V36" s="226"/>
      <c r="W36" s="183"/>
    </row>
    <row r="37" spans="1:23" ht="15.7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4"/>
    </row>
    <row r="38" spans="1:23" ht="15.75" customHeight="1">
      <c r="A38" s="130"/>
      <c r="B38" s="131"/>
      <c r="C38" s="131"/>
      <c r="D38" s="227" t="s">
        <v>140</v>
      </c>
      <c r="E38" s="216"/>
      <c r="F38" s="216"/>
      <c r="G38" s="216"/>
      <c r="H38" s="216"/>
      <c r="I38" s="216"/>
      <c r="J38" s="216"/>
      <c r="K38" s="216"/>
      <c r="L38" s="131"/>
      <c r="M38" s="131"/>
      <c r="N38" s="131"/>
      <c r="O38" s="131"/>
      <c r="P38" s="131"/>
      <c r="Q38" s="131"/>
      <c r="R38" s="131"/>
      <c r="S38" s="134"/>
    </row>
    <row r="39" spans="1:23" ht="15.75" customHeight="1">
      <c r="A39" s="130"/>
      <c r="B39" s="131"/>
      <c r="C39" s="131"/>
      <c r="D39" s="227"/>
      <c r="E39" s="216"/>
      <c r="F39" s="216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4"/>
    </row>
    <row r="40" spans="1:23" ht="15.75" customHeight="1"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S40" s="134"/>
    </row>
    <row r="41" spans="1:23" ht="15.75" customHeight="1">
      <c r="D41" s="229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S41" s="134"/>
    </row>
    <row r="42" spans="1:23" ht="15.75" customHeight="1"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S42" s="134"/>
    </row>
    <row r="43" spans="1:23" ht="15.75" customHeight="1">
      <c r="D43" s="228"/>
      <c r="E43" s="228"/>
      <c r="F43" s="228"/>
      <c r="G43" s="228"/>
      <c r="H43" s="228"/>
      <c r="I43" s="228"/>
      <c r="J43" s="228"/>
      <c r="K43" s="228"/>
      <c r="L43" s="230"/>
      <c r="M43" s="228"/>
      <c r="N43" s="228"/>
      <c r="O43" s="228"/>
      <c r="S43" s="134"/>
    </row>
    <row r="44" spans="1:23" ht="15.75" customHeight="1"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S44" s="134"/>
    </row>
    <row r="45" spans="1:23" ht="15.75" customHeight="1"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S45" s="134"/>
    </row>
    <row r="46" spans="1:23" ht="15.75" customHeight="1"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S46" s="134"/>
    </row>
    <row r="47" spans="1:23" ht="15.75" customHeight="1"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S47" s="134"/>
    </row>
    <row r="48" spans="1:23" ht="15.75" customHeight="1"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S48" s="134"/>
    </row>
    <row r="49" spans="4:19" ht="15.75" customHeight="1"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S49" s="134"/>
    </row>
    <row r="50" spans="4:19" ht="15.75" customHeight="1"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S50" s="134"/>
    </row>
    <row r="51" spans="4:19" ht="15.75" customHeight="1"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S51" s="134"/>
    </row>
    <row r="52" spans="4:19" ht="15.75" customHeight="1"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S52" s="134"/>
    </row>
    <row r="53" spans="4:19" ht="15.75" customHeight="1"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S53" s="134"/>
    </row>
    <row r="54" spans="4:19" ht="15.75" customHeight="1"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S54" s="134"/>
    </row>
    <row r="55" spans="4:19" ht="15.75" customHeight="1"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S55" s="134"/>
    </row>
    <row r="56" spans="4:19" ht="15.75" customHeight="1"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S56" s="134"/>
    </row>
    <row r="57" spans="4:19" ht="15.75" customHeight="1"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S57" s="134"/>
    </row>
    <row r="58" spans="4:19" ht="15.75" customHeight="1"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S58" s="134"/>
    </row>
    <row r="59" spans="4:19" ht="15.75" customHeight="1"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S59" s="134"/>
    </row>
    <row r="60" spans="4:19" ht="15.75" customHeight="1"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S60" s="134"/>
    </row>
    <row r="61" spans="4:19" ht="15.75" customHeight="1"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S61" s="134"/>
    </row>
    <row r="62" spans="4:19" ht="15.75" customHeight="1"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S62" s="134"/>
    </row>
    <row r="63" spans="4:19" ht="15.75" customHeight="1"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S63" s="134"/>
    </row>
    <row r="64" spans="4:19" ht="15.75" customHeight="1"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S64" s="134"/>
    </row>
    <row r="65" spans="4:19" ht="15.75" customHeight="1"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S65" s="134"/>
    </row>
    <row r="66" spans="4:19" ht="15.75" customHeight="1"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S66" s="134"/>
    </row>
    <row r="67" spans="4:19" ht="15.75" customHeight="1"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S67" s="134"/>
    </row>
    <row r="68" spans="4:19" ht="15.75" customHeight="1"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S68" s="134"/>
    </row>
    <row r="69" spans="4:19" ht="15.75" customHeight="1"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S69" s="134"/>
    </row>
    <row r="70" spans="4:19" ht="15.75" customHeight="1"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S70" s="134"/>
    </row>
    <row r="71" spans="4:19" ht="15.75" customHeight="1"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S71" s="134"/>
    </row>
    <row r="72" spans="4:19" ht="15.75" customHeight="1"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S72" s="134"/>
    </row>
    <row r="73" spans="4:19" ht="15.75" customHeight="1"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S73" s="134"/>
    </row>
    <row r="74" spans="4:19" ht="15.75" customHeight="1"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S74" s="134"/>
    </row>
    <row r="75" spans="4:19" ht="15.75" customHeight="1"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S75" s="134"/>
    </row>
    <row r="76" spans="4:19" ht="15.75" customHeight="1"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S76" s="134"/>
    </row>
    <row r="77" spans="4:19" ht="15.75" customHeight="1"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S77" s="134"/>
    </row>
    <row r="78" spans="4:19" ht="15.75" customHeight="1"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S78" s="134"/>
    </row>
    <row r="79" spans="4:19" ht="15.75" customHeight="1"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S79" s="134"/>
    </row>
    <row r="80" spans="4:19" ht="15.75" customHeight="1"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S80" s="134"/>
    </row>
    <row r="81" spans="4:19" ht="15.75" customHeight="1"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S81" s="134"/>
    </row>
    <row r="82" spans="4:19" ht="15.75" customHeight="1"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S82" s="134"/>
    </row>
    <row r="83" spans="4:19" ht="15.75" customHeight="1"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S83" s="134"/>
    </row>
    <row r="84" spans="4:19" ht="15.75" customHeight="1"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S84" s="134"/>
    </row>
    <row r="85" spans="4:19" ht="15.75" customHeight="1"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S85" s="134"/>
    </row>
    <row r="86" spans="4:19" ht="15.75" customHeight="1"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S86" s="134"/>
    </row>
    <row r="87" spans="4:19" ht="15.75" customHeight="1"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S87" s="134"/>
    </row>
    <row r="88" spans="4:19" ht="15.75" customHeight="1"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S88" s="134"/>
    </row>
    <row r="89" spans="4:19" ht="15.75" customHeight="1"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S89" s="134"/>
    </row>
    <row r="90" spans="4:19" ht="15.75" customHeight="1"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S90" s="134"/>
    </row>
    <row r="91" spans="4:19" ht="15.75" customHeight="1"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S91" s="134"/>
    </row>
    <row r="92" spans="4:19" ht="15.75" customHeight="1"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S92" s="134"/>
    </row>
    <row r="93" spans="4:19" ht="15.75" customHeight="1"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S93" s="134"/>
    </row>
    <row r="94" spans="4:19" ht="15.75" customHeight="1"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S94" s="134"/>
    </row>
    <row r="95" spans="4:19" ht="15.75" customHeight="1"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S95" s="134"/>
    </row>
    <row r="96" spans="4:19" ht="15.75" customHeight="1"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S96" s="134"/>
    </row>
    <row r="97" spans="4:19" ht="15.75" customHeight="1"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S97" s="134"/>
    </row>
    <row r="98" spans="4:19" ht="15.75" customHeight="1"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S98" s="134"/>
    </row>
    <row r="99" spans="4:19" ht="15.75" customHeight="1"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S99" s="134"/>
    </row>
    <row r="100" spans="4:19" ht="15.75" customHeight="1"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S100" s="134"/>
    </row>
    <row r="101" spans="4:19" ht="15.75" customHeight="1"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S101" s="134"/>
    </row>
    <row r="102" spans="4:19" ht="15.75" customHeight="1"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S102" s="134"/>
    </row>
    <row r="103" spans="4:19" ht="15.75" customHeight="1"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S103" s="134"/>
    </row>
    <row r="104" spans="4:19" ht="15.75" customHeight="1"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S104" s="134"/>
    </row>
    <row r="105" spans="4:19" ht="15.75" customHeight="1"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S105" s="134"/>
    </row>
    <row r="106" spans="4:19" ht="15.75" customHeight="1"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S106" s="134"/>
    </row>
    <row r="107" spans="4:19" ht="15.75" customHeight="1"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S107" s="134"/>
    </row>
    <row r="108" spans="4:19" ht="15.75" customHeight="1"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S108" s="134"/>
    </row>
    <row r="109" spans="4:19" ht="15.75" customHeight="1"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S109" s="134"/>
    </row>
    <row r="110" spans="4:19" ht="15.75" customHeight="1"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S110" s="134"/>
    </row>
    <row r="111" spans="4:19" ht="15.75" customHeight="1"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S111" s="134"/>
    </row>
    <row r="112" spans="4:19" ht="15.75" customHeight="1"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S112" s="134"/>
    </row>
    <row r="113" spans="4:19" ht="15.75" customHeight="1"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S113" s="134"/>
    </row>
    <row r="114" spans="4:19" ht="15.75" customHeight="1"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S114" s="134"/>
    </row>
    <row r="115" spans="4:19" ht="15.75" customHeight="1"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S115" s="134"/>
    </row>
    <row r="116" spans="4:19" ht="15.75" customHeight="1"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S116" s="134"/>
    </row>
    <row r="117" spans="4:19" ht="15.75" customHeight="1"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S117" s="134"/>
    </row>
    <row r="118" spans="4:19" ht="15.75" customHeight="1"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S118" s="134"/>
    </row>
    <row r="119" spans="4:19" ht="15.75" customHeight="1"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S119" s="134"/>
    </row>
    <row r="120" spans="4:19" ht="15.75" customHeight="1"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S120" s="134"/>
    </row>
    <row r="121" spans="4:19" ht="15.75" customHeight="1"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S121" s="134"/>
    </row>
    <row r="122" spans="4:19" ht="15.75" customHeight="1"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S122" s="134"/>
    </row>
    <row r="123" spans="4:19" ht="15.75" customHeight="1"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S123" s="134"/>
    </row>
    <row r="124" spans="4:19" ht="15.75" customHeight="1"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S124" s="134"/>
    </row>
    <row r="125" spans="4:19" ht="15.75" customHeight="1"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S125" s="134"/>
    </row>
    <row r="126" spans="4:19" ht="15.75" customHeight="1"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S126" s="134"/>
    </row>
    <row r="127" spans="4:19" ht="15.75" customHeight="1"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S127" s="134"/>
    </row>
    <row r="128" spans="4:19" ht="15.75" customHeight="1"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S128" s="134"/>
    </row>
    <row r="129" spans="4:19" ht="15.75" customHeight="1"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S129" s="134"/>
    </row>
    <row r="130" spans="4:19" ht="15.75" customHeight="1"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S130" s="134"/>
    </row>
    <row r="131" spans="4:19" ht="15.75" customHeight="1"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S131" s="134"/>
    </row>
    <row r="132" spans="4:19" ht="15.75" customHeight="1"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S132" s="134"/>
    </row>
    <row r="133" spans="4:19" ht="15.75" customHeight="1"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S133" s="134"/>
    </row>
    <row r="134" spans="4:19" ht="15.75" customHeight="1"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S134" s="134"/>
    </row>
    <row r="135" spans="4:19" ht="15.75" customHeight="1"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S135" s="134"/>
    </row>
    <row r="136" spans="4:19" ht="15.75" customHeight="1"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S136" s="134"/>
    </row>
    <row r="137" spans="4:19" ht="15.75" customHeight="1"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S137" s="134"/>
    </row>
    <row r="138" spans="4:19" ht="15.75" customHeight="1"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S138" s="134"/>
    </row>
    <row r="139" spans="4:19" ht="15.75" customHeight="1"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S139" s="134"/>
    </row>
    <row r="140" spans="4:19" ht="15.75" customHeight="1"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S140" s="134"/>
    </row>
    <row r="141" spans="4:19" ht="15.75" customHeight="1"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S141" s="134"/>
    </row>
    <row r="142" spans="4:19" ht="15.75" customHeight="1"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S142" s="134"/>
    </row>
    <row r="143" spans="4:19" ht="15.75" customHeight="1"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S143" s="134"/>
    </row>
    <row r="144" spans="4:19" ht="15.75" customHeight="1"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S144" s="134"/>
    </row>
    <row r="145" spans="4:19" ht="15.75" customHeight="1"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S145" s="134"/>
    </row>
    <row r="146" spans="4:19" ht="15.75" customHeight="1"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S146" s="134"/>
    </row>
    <row r="147" spans="4:19" ht="15.75" customHeight="1"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S147" s="134"/>
    </row>
    <row r="148" spans="4:19" ht="15.75" customHeight="1"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S148" s="134"/>
    </row>
    <row r="149" spans="4:19" ht="15.75" customHeight="1"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S149" s="134"/>
    </row>
    <row r="150" spans="4:19" ht="15.75" customHeight="1"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S150" s="134"/>
    </row>
    <row r="151" spans="4:19" ht="15.75" customHeight="1"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S151" s="134"/>
    </row>
    <row r="152" spans="4:19" ht="15.75" customHeight="1"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S152" s="134"/>
    </row>
    <row r="153" spans="4:19" ht="15.75" customHeight="1"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S153" s="134"/>
    </row>
    <row r="154" spans="4:19" ht="15.75" customHeight="1"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S154" s="134"/>
    </row>
    <row r="155" spans="4:19" ht="15.75" customHeight="1"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S155" s="134"/>
    </row>
    <row r="156" spans="4:19" ht="15.75" customHeight="1"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S156" s="134"/>
    </row>
    <row r="157" spans="4:19" ht="15.75" customHeight="1"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S157" s="134"/>
    </row>
    <row r="158" spans="4:19" ht="15.75" customHeight="1"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S158" s="134"/>
    </row>
    <row r="159" spans="4:19" ht="15.75" customHeight="1"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S159" s="134"/>
    </row>
    <row r="160" spans="4:19" ht="15.75" customHeight="1"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S160" s="134"/>
    </row>
    <row r="161" spans="4:19" ht="15.75" customHeight="1"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S161" s="134"/>
    </row>
    <row r="162" spans="4:19" ht="15.75" customHeight="1"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S162" s="134"/>
    </row>
    <row r="163" spans="4:19" ht="15.75" customHeight="1"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S163" s="134"/>
    </row>
    <row r="164" spans="4:19" ht="15.75" customHeight="1"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S164" s="134"/>
    </row>
    <row r="165" spans="4:19" ht="15.75" customHeight="1"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S165" s="134"/>
    </row>
    <row r="166" spans="4:19" ht="15.75" customHeight="1"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S166" s="134"/>
    </row>
    <row r="167" spans="4:19" ht="15.75" customHeight="1"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S167" s="134"/>
    </row>
    <row r="168" spans="4:19" ht="15.75" customHeight="1"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S168" s="134"/>
    </row>
    <row r="169" spans="4:19" ht="15.75" customHeight="1"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S169" s="134"/>
    </row>
    <row r="170" spans="4:19" ht="15.75" customHeight="1"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S170" s="134"/>
    </row>
    <row r="171" spans="4:19" ht="15.75" customHeight="1"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S171" s="134"/>
    </row>
    <row r="172" spans="4:19" ht="15.75" customHeight="1"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S172" s="134"/>
    </row>
    <row r="173" spans="4:19" ht="15.75" customHeight="1"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S173" s="134"/>
    </row>
    <row r="174" spans="4:19" ht="15.75" customHeight="1"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S174" s="134"/>
    </row>
    <row r="175" spans="4:19" ht="15.75" customHeight="1"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S175" s="134"/>
    </row>
    <row r="176" spans="4:19" ht="15.75" customHeight="1"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S176" s="134"/>
    </row>
    <row r="177" spans="4:19" ht="15.75" customHeight="1"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S177" s="134"/>
    </row>
    <row r="178" spans="4:19" ht="15.75" customHeight="1"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S178" s="134"/>
    </row>
    <row r="179" spans="4:19" ht="15.75" customHeight="1"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S179" s="134"/>
    </row>
    <row r="180" spans="4:19" ht="15.75" customHeight="1"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S180" s="134"/>
    </row>
    <row r="181" spans="4:19" ht="15.75" customHeight="1"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S181" s="134"/>
    </row>
    <row r="182" spans="4:19" ht="15.75" customHeight="1"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S182" s="134"/>
    </row>
    <row r="183" spans="4:19" ht="15.75" customHeight="1"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S183" s="134"/>
    </row>
    <row r="184" spans="4:19" ht="15.75" customHeight="1"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S184" s="134"/>
    </row>
    <row r="185" spans="4:19" ht="15.75" customHeight="1"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S185" s="134"/>
    </row>
    <row r="186" spans="4:19" ht="15.75" customHeight="1"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S186" s="134"/>
    </row>
    <row r="187" spans="4:19" ht="15.75" customHeight="1"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S187" s="134"/>
    </row>
    <row r="188" spans="4:19" ht="15.75" customHeight="1"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S188" s="134"/>
    </row>
    <row r="189" spans="4:19" ht="15.75" customHeight="1"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S189" s="134"/>
    </row>
    <row r="190" spans="4:19" ht="15.75" customHeight="1"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S190" s="134"/>
    </row>
    <row r="191" spans="4:19" ht="15.75" customHeight="1"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S191" s="134"/>
    </row>
    <row r="192" spans="4:19" ht="15.75" customHeight="1"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S192" s="134"/>
    </row>
    <row r="193" spans="4:19" ht="15.75" customHeight="1"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S193" s="134"/>
    </row>
    <row r="194" spans="4:19" ht="15.75" customHeight="1"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S194" s="134"/>
    </row>
    <row r="195" spans="4:19" ht="15.75" customHeight="1"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S195" s="134"/>
    </row>
    <row r="196" spans="4:19" ht="15.75" customHeight="1"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S196" s="134"/>
    </row>
    <row r="197" spans="4:19" ht="15.75" customHeight="1"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S197" s="134"/>
    </row>
    <row r="198" spans="4:19" ht="15.75" customHeight="1"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S198" s="134"/>
    </row>
    <row r="199" spans="4:19" ht="15.75" customHeight="1"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S199" s="134"/>
    </row>
    <row r="200" spans="4:19" ht="15.75" customHeight="1"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S200" s="134"/>
    </row>
    <row r="201" spans="4:19" ht="15.75" customHeight="1"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S201" s="134"/>
    </row>
    <row r="202" spans="4:19" ht="15.75" customHeight="1"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S202" s="134"/>
    </row>
    <row r="203" spans="4:19" ht="15.75" customHeight="1"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S203" s="134"/>
    </row>
    <row r="204" spans="4:19" ht="15.75" customHeight="1"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S204" s="134"/>
    </row>
    <row r="205" spans="4:19" ht="15.75" customHeight="1"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S205" s="134"/>
    </row>
    <row r="206" spans="4:19" ht="15.75" customHeight="1"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S206" s="134"/>
    </row>
    <row r="207" spans="4:19" ht="15.75" customHeight="1"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S207" s="134"/>
    </row>
    <row r="208" spans="4:19" ht="15.75" customHeight="1"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S208" s="134"/>
    </row>
    <row r="209" spans="4:19" ht="15.75" customHeight="1"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S209" s="134"/>
    </row>
    <row r="210" spans="4:19" ht="15.75" customHeight="1"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S210" s="134"/>
    </row>
    <row r="211" spans="4:19" ht="15.75" customHeight="1"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S211" s="134"/>
    </row>
    <row r="212" spans="4:19" ht="15.75" customHeight="1"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S212" s="134"/>
    </row>
    <row r="213" spans="4:19" ht="15.75" customHeight="1"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S213" s="134"/>
    </row>
    <row r="214" spans="4:19" ht="15.75" customHeight="1"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S214" s="134"/>
    </row>
    <row r="215" spans="4:19" ht="15.75" customHeight="1"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S215" s="134"/>
    </row>
    <row r="216" spans="4:19" ht="15.75" customHeight="1"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S216" s="134"/>
    </row>
    <row r="217" spans="4:19" ht="15.75" customHeight="1"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S217" s="134"/>
    </row>
    <row r="218" spans="4:19" ht="15.75" customHeight="1"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S218" s="134"/>
    </row>
    <row r="219" spans="4:19" ht="15.75" customHeight="1"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S219" s="134"/>
    </row>
    <row r="220" spans="4:19" ht="15.75" customHeight="1"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S220" s="134"/>
    </row>
    <row r="221" spans="4:19" ht="15.75" customHeight="1"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S221" s="134"/>
    </row>
    <row r="222" spans="4:19" ht="15.75" customHeight="1"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S222" s="134"/>
    </row>
    <row r="223" spans="4:19" ht="15.75" customHeight="1"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S223" s="134"/>
    </row>
    <row r="224" spans="4:19" ht="15.75" customHeight="1"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S224" s="134"/>
    </row>
    <row r="225" spans="4:19" ht="15.75" customHeight="1"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S225" s="134"/>
    </row>
    <row r="226" spans="4:19" ht="15.75" customHeight="1"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S226" s="134"/>
    </row>
    <row r="227" spans="4:19" ht="15.75" customHeight="1"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S227" s="134"/>
    </row>
    <row r="228" spans="4:19" ht="15.75" customHeight="1"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S228" s="134"/>
    </row>
    <row r="229" spans="4:19" ht="15.75" customHeight="1"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S229" s="134"/>
    </row>
    <row r="230" spans="4:19" ht="15.75" customHeight="1"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S230" s="134"/>
    </row>
    <row r="231" spans="4:19" ht="15.75" customHeight="1"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S231" s="134"/>
    </row>
    <row r="232" spans="4:19" ht="15.75" customHeight="1"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S232" s="134"/>
    </row>
    <row r="233" spans="4:19" ht="15.75" customHeight="1"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S233" s="134"/>
    </row>
    <row r="234" spans="4:19" ht="15.75" customHeight="1"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S234" s="134"/>
    </row>
    <row r="235" spans="4:19" ht="15.75" customHeight="1"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S235" s="134"/>
    </row>
    <row r="236" spans="4:19" ht="15.75" customHeight="1"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S236" s="134"/>
    </row>
    <row r="237" spans="4:19" ht="15.75" customHeight="1"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S237" s="134"/>
    </row>
    <row r="238" spans="4:19" ht="15.75" customHeight="1"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S238" s="134"/>
    </row>
    <row r="239" spans="4:19" ht="15.75" customHeight="1"/>
    <row r="240" spans="4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4:H4"/>
    <mergeCell ref="I4:K4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4.42578125" defaultRowHeight="15" customHeight="1"/>
  <cols>
    <col min="1" max="1" width="11.28515625" customWidth="1"/>
    <col min="2" max="2" width="28.85546875" customWidth="1"/>
    <col min="3" max="3" width="3.42578125" customWidth="1"/>
    <col min="4" max="4" width="13.7109375" customWidth="1"/>
    <col min="5" max="5" width="13.5703125" customWidth="1"/>
    <col min="6" max="6" width="12.85546875" customWidth="1"/>
    <col min="7" max="7" width="10.85546875" customWidth="1"/>
    <col min="8" max="9" width="13" customWidth="1"/>
    <col min="10" max="10" width="11.28515625" customWidth="1"/>
    <col min="11" max="11" width="10.85546875" customWidth="1"/>
    <col min="12" max="12" width="13.85546875" hidden="1" customWidth="1"/>
    <col min="13" max="13" width="11" hidden="1" customWidth="1"/>
    <col min="14" max="14" width="10.85546875" hidden="1" customWidth="1"/>
    <col min="15" max="15" width="11.42578125" hidden="1" customWidth="1"/>
    <col min="16" max="16" width="1.85546875" customWidth="1"/>
    <col min="17" max="17" width="13.42578125" customWidth="1"/>
    <col min="18" max="18" width="4.85546875" customWidth="1"/>
    <col min="19" max="20" width="13.42578125" customWidth="1"/>
    <col min="21" max="21" width="5" customWidth="1"/>
    <col min="22" max="22" width="12.85546875" customWidth="1"/>
  </cols>
  <sheetData>
    <row r="1" spans="1:21">
      <c r="A1" s="130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1">
      <c r="A2" s="130" t="s">
        <v>141</v>
      </c>
      <c r="B2" s="131"/>
      <c r="C2" s="131"/>
      <c r="D2" s="131"/>
      <c r="E2" s="139"/>
      <c r="F2" s="139"/>
      <c r="G2" s="131"/>
      <c r="H2" s="131"/>
      <c r="I2" s="231"/>
      <c r="J2" s="231"/>
      <c r="K2" s="139"/>
      <c r="L2" s="131"/>
      <c r="M2" s="131"/>
      <c r="N2" s="131"/>
      <c r="O2" s="131"/>
      <c r="P2" s="131"/>
    </row>
    <row r="3" spans="1:21">
      <c r="A3" s="232">
        <v>45351</v>
      </c>
      <c r="B3" s="233"/>
      <c r="C3" s="131"/>
      <c r="D3" s="131"/>
      <c r="E3" s="131"/>
      <c r="F3" s="131"/>
      <c r="G3" s="131"/>
      <c r="H3" s="131"/>
      <c r="I3" s="131"/>
      <c r="J3" s="131"/>
      <c r="K3" s="131"/>
      <c r="L3" s="131"/>
      <c r="N3" s="131"/>
      <c r="O3" s="131"/>
      <c r="P3" s="131"/>
    </row>
    <row r="4" spans="1:21">
      <c r="A4" s="130"/>
      <c r="B4" s="131"/>
      <c r="C4" s="131"/>
      <c r="D4" s="140"/>
      <c r="E4" s="510" t="s">
        <v>142</v>
      </c>
      <c r="F4" s="511"/>
      <c r="G4" s="511"/>
      <c r="H4" s="511"/>
      <c r="I4" s="512"/>
      <c r="J4" s="511"/>
      <c r="K4" s="511"/>
      <c r="L4" s="141"/>
      <c r="M4" s="141"/>
      <c r="N4" s="141"/>
      <c r="O4" s="141"/>
      <c r="P4" s="131"/>
      <c r="Q4" s="234" t="s">
        <v>143</v>
      </c>
      <c r="U4" s="235"/>
    </row>
    <row r="5" spans="1:21">
      <c r="A5" s="130"/>
      <c r="B5" s="131"/>
      <c r="C5" s="131"/>
      <c r="D5" s="147">
        <v>45129</v>
      </c>
      <c r="E5" s="147">
        <v>45160</v>
      </c>
      <c r="F5" s="147">
        <v>45191</v>
      </c>
      <c r="G5" s="147">
        <v>45221</v>
      </c>
      <c r="H5" s="147">
        <v>45252</v>
      </c>
      <c r="I5" s="147">
        <v>45282</v>
      </c>
      <c r="J5" s="147">
        <v>45313</v>
      </c>
      <c r="K5" s="147">
        <v>45344</v>
      </c>
      <c r="L5" s="147">
        <v>45373</v>
      </c>
      <c r="M5" s="147">
        <v>45404</v>
      </c>
      <c r="N5" s="147">
        <v>45434</v>
      </c>
      <c r="O5" s="147">
        <v>45465</v>
      </c>
      <c r="P5" s="131"/>
      <c r="Q5" s="236" t="s">
        <v>3</v>
      </c>
      <c r="U5" s="237"/>
    </row>
    <row r="6" spans="1:21">
      <c r="A6" s="130" t="s">
        <v>115</v>
      </c>
      <c r="B6" s="131"/>
      <c r="C6" s="131"/>
      <c r="D6" s="238"/>
      <c r="E6" s="23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131"/>
      <c r="Q6" s="241"/>
      <c r="U6" s="185"/>
    </row>
    <row r="7" spans="1:21">
      <c r="A7" s="130"/>
      <c r="B7" s="131" t="s">
        <v>116</v>
      </c>
      <c r="C7" s="131"/>
      <c r="D7" s="242">
        <v>0</v>
      </c>
      <c r="E7" s="242">
        <v>1443486.19</v>
      </c>
      <c r="F7" s="242">
        <v>1443486.19</v>
      </c>
      <c r="G7" s="242">
        <v>1443486.19</v>
      </c>
      <c r="H7" s="242">
        <v>1443486.19</v>
      </c>
      <c r="I7" s="242">
        <v>1615891.25</v>
      </c>
      <c r="J7" s="176">
        <v>1543667.25</v>
      </c>
      <c r="K7" s="242">
        <v>1543667.25</v>
      </c>
      <c r="L7" s="242"/>
      <c r="M7" s="242"/>
      <c r="N7" s="242"/>
      <c r="O7" s="242"/>
      <c r="P7" s="131"/>
      <c r="Q7" s="243">
        <f t="shared" ref="Q7:Q17" si="0">SUM(D7:O7)</f>
        <v>10477170.51</v>
      </c>
      <c r="U7" s="218"/>
    </row>
    <row r="8" spans="1:21">
      <c r="A8" s="130"/>
      <c r="B8" s="131" t="s">
        <v>144</v>
      </c>
      <c r="C8" s="131"/>
      <c r="D8" s="244">
        <v>80429</v>
      </c>
      <c r="E8" s="245">
        <v>80429</v>
      </c>
      <c r="F8" s="246">
        <v>3260.28</v>
      </c>
      <c r="G8" s="245">
        <v>6495.29</v>
      </c>
      <c r="H8" s="153">
        <v>0</v>
      </c>
      <c r="I8" s="153">
        <v>57456</v>
      </c>
      <c r="J8" s="176">
        <v>51</v>
      </c>
      <c r="K8" s="246">
        <f>65224.58+86720</f>
        <v>151944.58000000002</v>
      </c>
      <c r="L8" s="153"/>
      <c r="M8" s="153"/>
      <c r="N8" s="153"/>
      <c r="O8" s="153"/>
      <c r="P8" s="131"/>
      <c r="Q8" s="243">
        <f t="shared" si="0"/>
        <v>380065.15</v>
      </c>
      <c r="U8" s="218"/>
    </row>
    <row r="9" spans="1:21">
      <c r="A9" s="130"/>
      <c r="B9" s="131" t="s">
        <v>118</v>
      </c>
      <c r="C9" s="131"/>
      <c r="D9" s="247">
        <v>0</v>
      </c>
      <c r="E9" s="245">
        <v>329398.19</v>
      </c>
      <c r="F9" s="246">
        <v>122093.83</v>
      </c>
      <c r="G9" s="248">
        <v>0</v>
      </c>
      <c r="H9" s="153">
        <v>0</v>
      </c>
      <c r="I9" s="153">
        <v>0</v>
      </c>
      <c r="J9" s="176">
        <v>22548.34</v>
      </c>
      <c r="K9" s="246">
        <v>65550</v>
      </c>
      <c r="L9" s="153"/>
      <c r="M9" s="153"/>
      <c r="N9" s="153"/>
      <c r="O9" s="153"/>
      <c r="P9" s="131"/>
      <c r="Q9" s="243">
        <f t="shared" si="0"/>
        <v>539590.3600000001</v>
      </c>
      <c r="U9" s="218"/>
    </row>
    <row r="10" spans="1:21">
      <c r="A10" s="130"/>
      <c r="B10" s="131" t="s">
        <v>119</v>
      </c>
      <c r="C10" s="131"/>
      <c r="D10" s="247">
        <v>0</v>
      </c>
      <c r="E10" s="245">
        <v>0</v>
      </c>
      <c r="F10" s="246">
        <v>0</v>
      </c>
      <c r="G10" s="246">
        <v>0</v>
      </c>
      <c r="H10" s="153">
        <v>109027.88</v>
      </c>
      <c r="I10" s="153">
        <v>7702.16</v>
      </c>
      <c r="J10" s="176">
        <v>9611.08</v>
      </c>
      <c r="K10" s="246">
        <v>4613.74</v>
      </c>
      <c r="L10" s="153"/>
      <c r="M10" s="153"/>
      <c r="N10" s="153"/>
      <c r="O10" s="153"/>
      <c r="P10" s="131"/>
      <c r="Q10" s="243">
        <f t="shared" si="0"/>
        <v>130954.86000000002</v>
      </c>
      <c r="U10" s="218"/>
    </row>
    <row r="11" spans="1:21">
      <c r="A11" s="130"/>
      <c r="B11" s="131" t="s">
        <v>120</v>
      </c>
      <c r="C11" s="131"/>
      <c r="D11" s="247">
        <v>9979.99</v>
      </c>
      <c r="E11" s="245">
        <v>17695.93</v>
      </c>
      <c r="F11" s="246">
        <v>20001.22</v>
      </c>
      <c r="G11" s="249">
        <v>15128.05</v>
      </c>
      <c r="H11" s="250">
        <v>11738.67</v>
      </c>
      <c r="I11" s="153">
        <v>20346.439999999999</v>
      </c>
      <c r="J11" s="176">
        <f>16503.6+5718.82</f>
        <v>22222.42</v>
      </c>
      <c r="K11" s="246">
        <v>9970.27</v>
      </c>
      <c r="L11" s="153"/>
      <c r="M11" s="153"/>
      <c r="N11" s="153"/>
      <c r="O11" s="153"/>
      <c r="P11" s="131"/>
      <c r="Q11" s="243">
        <f t="shared" si="0"/>
        <v>127082.99</v>
      </c>
      <c r="U11" s="218"/>
    </row>
    <row r="12" spans="1:21">
      <c r="A12" s="130"/>
      <c r="B12" s="131" t="s">
        <v>121</v>
      </c>
      <c r="C12" s="131"/>
      <c r="D12" s="247">
        <v>6192.15</v>
      </c>
      <c r="E12" s="245">
        <f>31426.24+260</f>
        <v>31686.240000000002</v>
      </c>
      <c r="F12" s="246">
        <f>39014.17+8670.26</f>
        <v>47684.43</v>
      </c>
      <c r="G12" s="245">
        <f>27344.03+20228.65</f>
        <v>47572.68</v>
      </c>
      <c r="H12" s="251">
        <f>34700.26+16561.91</f>
        <v>51262.17</v>
      </c>
      <c r="I12" s="153">
        <f>19617.34+4506.25</f>
        <v>24123.59</v>
      </c>
      <c r="J12" s="176">
        <f>39123.92+11438.91</f>
        <v>50562.83</v>
      </c>
      <c r="K12" s="246">
        <f>31142.81+20356.88</f>
        <v>51499.69</v>
      </c>
      <c r="L12" s="153"/>
      <c r="M12" s="153"/>
      <c r="N12" s="153"/>
      <c r="O12" s="153"/>
      <c r="P12" s="131"/>
      <c r="Q12" s="243">
        <f t="shared" si="0"/>
        <v>310583.77999999997</v>
      </c>
      <c r="U12" s="218"/>
    </row>
    <row r="13" spans="1:21">
      <c r="A13" s="130"/>
      <c r="B13" s="131" t="s">
        <v>122</v>
      </c>
      <c r="C13" s="131"/>
      <c r="D13" s="252">
        <v>2420</v>
      </c>
      <c r="E13" s="245">
        <v>36340</v>
      </c>
      <c r="F13" s="249">
        <v>30137.45</v>
      </c>
      <c r="G13" s="245">
        <v>27278.25</v>
      </c>
      <c r="H13" s="251">
        <v>26775.8</v>
      </c>
      <c r="I13" s="153">
        <v>21231.5</v>
      </c>
      <c r="J13" s="176">
        <v>33462.5</v>
      </c>
      <c r="K13" s="246">
        <v>23249</v>
      </c>
      <c r="L13" s="153"/>
      <c r="M13" s="153"/>
      <c r="N13" s="153"/>
      <c r="O13" s="153"/>
      <c r="P13" s="131"/>
      <c r="Q13" s="243">
        <f t="shared" si="0"/>
        <v>200894.5</v>
      </c>
      <c r="U13" s="218"/>
    </row>
    <row r="14" spans="1:21">
      <c r="A14" s="130"/>
      <c r="B14" s="131" t="s">
        <v>27</v>
      </c>
      <c r="C14" s="131"/>
      <c r="D14" s="242">
        <v>0</v>
      </c>
      <c r="E14" s="245">
        <v>0</v>
      </c>
      <c r="F14" s="249">
        <v>25847.56</v>
      </c>
      <c r="G14" s="245">
        <v>15089.58</v>
      </c>
      <c r="H14" s="251">
        <v>10400</v>
      </c>
      <c r="I14" s="153">
        <v>6765</v>
      </c>
      <c r="J14" s="176">
        <v>6570</v>
      </c>
      <c r="K14" s="246">
        <v>15471</v>
      </c>
      <c r="L14" s="153"/>
      <c r="M14" s="153"/>
      <c r="N14" s="153"/>
      <c r="O14" s="153"/>
      <c r="P14" s="131"/>
      <c r="Q14" s="243">
        <f t="shared" si="0"/>
        <v>80143.14</v>
      </c>
      <c r="U14" s="218"/>
    </row>
    <row r="15" spans="1:21">
      <c r="A15" s="130"/>
      <c r="B15" s="131" t="s">
        <v>123</v>
      </c>
      <c r="C15" s="131"/>
      <c r="D15" s="242">
        <v>0</v>
      </c>
      <c r="E15" s="245">
        <v>5609.03</v>
      </c>
      <c r="F15" s="249">
        <v>47688.76</v>
      </c>
      <c r="G15" s="245">
        <v>7847.71</v>
      </c>
      <c r="H15" s="251">
        <v>2285.34</v>
      </c>
      <c r="I15" s="153">
        <v>547.26</v>
      </c>
      <c r="J15" s="176">
        <v>719.75</v>
      </c>
      <c r="K15" s="246">
        <v>0</v>
      </c>
      <c r="L15" s="153"/>
      <c r="M15" s="153"/>
      <c r="N15" s="153"/>
      <c r="O15" s="153"/>
      <c r="P15" s="131"/>
      <c r="Q15" s="243">
        <f t="shared" si="0"/>
        <v>64697.85</v>
      </c>
      <c r="U15" s="218"/>
    </row>
    <row r="16" spans="1:21">
      <c r="A16" s="130"/>
      <c r="B16" s="131" t="s">
        <v>124</v>
      </c>
      <c r="C16" s="131"/>
      <c r="D16" s="242">
        <v>0</v>
      </c>
      <c r="E16" s="246">
        <v>0</v>
      </c>
      <c r="F16" s="246">
        <v>9952.07</v>
      </c>
      <c r="G16" s="246">
        <v>821.97</v>
      </c>
      <c r="H16" s="153">
        <v>1467.7</v>
      </c>
      <c r="I16" s="153">
        <v>26392.53</v>
      </c>
      <c r="J16" s="253">
        <v>1875.94</v>
      </c>
      <c r="K16" s="254">
        <v>1848.91</v>
      </c>
      <c r="L16" s="153"/>
      <c r="M16" s="153"/>
      <c r="N16" s="153"/>
      <c r="O16" s="153"/>
      <c r="P16" s="131"/>
      <c r="Q16" s="243">
        <f t="shared" si="0"/>
        <v>42359.12</v>
      </c>
      <c r="U16" s="218"/>
    </row>
    <row r="17" spans="1:22">
      <c r="A17" s="130" t="s">
        <v>125</v>
      </c>
      <c r="B17" s="130"/>
      <c r="C17" s="130"/>
      <c r="D17" s="255">
        <f t="shared" ref="D17:O17" si="1">SUM(D6:D16)</f>
        <v>99021.14</v>
      </c>
      <c r="E17" s="255">
        <f t="shared" si="1"/>
        <v>1944644.5799999998</v>
      </c>
      <c r="F17" s="255">
        <f t="shared" si="1"/>
        <v>1750151.79</v>
      </c>
      <c r="G17" s="255">
        <f t="shared" si="1"/>
        <v>1563719.72</v>
      </c>
      <c r="H17" s="255">
        <f t="shared" si="1"/>
        <v>1656443.7499999998</v>
      </c>
      <c r="I17" s="255">
        <f t="shared" si="1"/>
        <v>1780455.73</v>
      </c>
      <c r="J17" s="255">
        <f t="shared" si="1"/>
        <v>1691291.11</v>
      </c>
      <c r="K17" s="255">
        <f t="shared" si="1"/>
        <v>1867814.44</v>
      </c>
      <c r="L17" s="255">
        <f t="shared" si="1"/>
        <v>0</v>
      </c>
      <c r="M17" s="255">
        <f t="shared" si="1"/>
        <v>0</v>
      </c>
      <c r="N17" s="255">
        <f t="shared" si="1"/>
        <v>0</v>
      </c>
      <c r="O17" s="255">
        <f t="shared" si="1"/>
        <v>0</v>
      </c>
      <c r="P17" s="131"/>
      <c r="Q17" s="256">
        <f t="shared" si="0"/>
        <v>12353542.259999998</v>
      </c>
      <c r="U17" s="218"/>
    </row>
    <row r="18" spans="1:22">
      <c r="A18" s="130"/>
      <c r="B18" s="131"/>
      <c r="C18" s="131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1"/>
      <c r="Q18" s="132"/>
      <c r="U18" s="257"/>
    </row>
    <row r="19" spans="1:22">
      <c r="A19" s="130" t="s">
        <v>126</v>
      </c>
      <c r="B19" s="131"/>
      <c r="C19" s="131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1"/>
      <c r="Q19" s="131"/>
      <c r="U19" s="216"/>
    </row>
    <row r="20" spans="1:22">
      <c r="A20" s="130"/>
      <c r="B20" s="131" t="s">
        <v>36</v>
      </c>
      <c r="C20" s="131"/>
      <c r="D20" s="258">
        <f>952702.75+3723</f>
        <v>956425.75</v>
      </c>
      <c r="E20" s="259">
        <v>986938.22</v>
      </c>
      <c r="F20" s="260">
        <v>1239949.75</v>
      </c>
      <c r="G20" s="260">
        <f>1077640.33+4768</f>
        <v>1082408.33</v>
      </c>
      <c r="H20" s="260">
        <v>1083544.67</v>
      </c>
      <c r="I20" s="261">
        <v>1189137.3600000001</v>
      </c>
      <c r="J20" s="188">
        <v>992932.92</v>
      </c>
      <c r="K20" s="261">
        <v>1081703.8999999999</v>
      </c>
      <c r="L20" s="261"/>
      <c r="M20" s="261"/>
      <c r="N20" s="261"/>
      <c r="O20" s="261"/>
      <c r="P20" s="131"/>
      <c r="Q20" s="262">
        <f t="shared" ref="Q20:Q31" si="2">SUM(D20:O20)</f>
        <v>8613040.9000000004</v>
      </c>
      <c r="U20" s="218"/>
    </row>
    <row r="21" spans="1:22" ht="15.75" customHeight="1">
      <c r="A21" s="130"/>
      <c r="B21" s="131" t="s">
        <v>40</v>
      </c>
      <c r="C21" s="131"/>
      <c r="D21" s="263">
        <v>23311.41</v>
      </c>
      <c r="E21" s="264">
        <v>8974.56</v>
      </c>
      <c r="F21" s="247">
        <v>12141.91</v>
      </c>
      <c r="G21" s="247">
        <v>5371.73</v>
      </c>
      <c r="H21" s="265">
        <v>13701.71</v>
      </c>
      <c r="I21" s="242">
        <v>8286.7199999999993</v>
      </c>
      <c r="J21" s="173">
        <v>9200.94</v>
      </c>
      <c r="K21" s="242">
        <v>2202.15</v>
      </c>
      <c r="L21" s="242"/>
      <c r="M21" s="242"/>
      <c r="N21" s="242"/>
      <c r="O21" s="242"/>
      <c r="P21" s="131"/>
      <c r="Q21" s="243">
        <f t="shared" si="2"/>
        <v>83191.12999999999</v>
      </c>
      <c r="U21" s="218"/>
    </row>
    <row r="22" spans="1:22" ht="15.75" customHeight="1">
      <c r="A22" s="130"/>
      <c r="B22" s="131" t="s">
        <v>127</v>
      </c>
      <c r="C22" s="131"/>
      <c r="D22" s="266">
        <v>43069.22</v>
      </c>
      <c r="E22" s="264">
        <v>44935.55</v>
      </c>
      <c r="F22" s="247">
        <v>13599.55</v>
      </c>
      <c r="G22" s="247">
        <v>12346.7</v>
      </c>
      <c r="H22" s="265">
        <v>6198.6</v>
      </c>
      <c r="I22" s="267">
        <v>4090.72</v>
      </c>
      <c r="J22" s="173">
        <v>12188.39</v>
      </c>
      <c r="K22" s="242">
        <v>10878.92</v>
      </c>
      <c r="L22" s="242"/>
      <c r="M22" s="242"/>
      <c r="N22" s="242"/>
      <c r="O22" s="242"/>
      <c r="P22" s="131"/>
      <c r="Q22" s="243">
        <f t="shared" si="2"/>
        <v>147307.65000000002</v>
      </c>
      <c r="U22" s="218"/>
    </row>
    <row r="23" spans="1:22" ht="15.75" customHeight="1">
      <c r="A23" s="130"/>
      <c r="B23" s="131" t="s">
        <v>128</v>
      </c>
      <c r="C23" s="131"/>
      <c r="D23" s="246">
        <v>617.35</v>
      </c>
      <c r="E23" s="264">
        <f>22718.44</f>
        <v>22718.44</v>
      </c>
      <c r="F23" s="247">
        <v>8972.92</v>
      </c>
      <c r="G23" s="247">
        <v>25171.55</v>
      </c>
      <c r="H23" s="265">
        <v>11576.41</v>
      </c>
      <c r="I23" s="242">
        <v>16369.57</v>
      </c>
      <c r="J23" s="268">
        <f>25472.56-2500</f>
        <v>22972.560000000001</v>
      </c>
      <c r="K23" s="242">
        <v>24528.66</v>
      </c>
      <c r="L23" s="242"/>
      <c r="M23" s="242"/>
      <c r="N23" s="242"/>
      <c r="O23" s="242"/>
      <c r="P23" s="131"/>
      <c r="Q23" s="243">
        <f t="shared" si="2"/>
        <v>132927.46</v>
      </c>
      <c r="U23" s="218"/>
      <c r="V23" s="269"/>
    </row>
    <row r="24" spans="1:22" ht="15.75" customHeight="1">
      <c r="A24" s="130"/>
      <c r="B24" s="131" t="s">
        <v>129</v>
      </c>
      <c r="C24" s="131"/>
      <c r="D24" s="246">
        <v>1101.3900000000001</v>
      </c>
      <c r="E24" s="270">
        <v>38312.75</v>
      </c>
      <c r="F24" s="247">
        <v>29134.75</v>
      </c>
      <c r="G24" s="247">
        <v>34679.01</v>
      </c>
      <c r="H24" s="265">
        <v>34837.050000000003</v>
      </c>
      <c r="I24" s="242">
        <v>16605.11</v>
      </c>
      <c r="J24" s="173">
        <v>29343.24</v>
      </c>
      <c r="K24" s="242">
        <v>22750.46</v>
      </c>
      <c r="L24" s="242"/>
      <c r="M24" s="242"/>
      <c r="N24" s="242"/>
      <c r="O24" s="242"/>
      <c r="P24" s="131"/>
      <c r="Q24" s="243">
        <f t="shared" si="2"/>
        <v>206763.75999999998</v>
      </c>
      <c r="U24" s="218"/>
      <c r="V24" s="269"/>
    </row>
    <row r="25" spans="1:22" ht="15.75" customHeight="1">
      <c r="A25" s="130"/>
      <c r="B25" s="131" t="s">
        <v>53</v>
      </c>
      <c r="C25" s="131"/>
      <c r="D25" s="271">
        <f>37300.69+15819.15+64338.82</f>
        <v>117458.66</v>
      </c>
      <c r="E25" s="270">
        <f>40370.48+16128.38+72487.56</f>
        <v>128986.42</v>
      </c>
      <c r="F25" s="247">
        <f>30366.55+19416.29+14045.34</f>
        <v>63828.179999999993</v>
      </c>
      <c r="G25" s="247">
        <f>27267.86+15801.75+18392.1</f>
        <v>61461.71</v>
      </c>
      <c r="H25" s="247">
        <f>30525.41+12478.62+20758.12</f>
        <v>63762.149999999994</v>
      </c>
      <c r="I25" s="267">
        <f>26847.41+16226.15+1289.12</f>
        <v>44362.68</v>
      </c>
      <c r="J25" s="173">
        <f>108514.45+16239.1+23523.49+10947.96</f>
        <v>159225</v>
      </c>
      <c r="K25" s="242">
        <f>57203.5+18719.82+12594.6</f>
        <v>88517.920000000013</v>
      </c>
      <c r="L25" s="242"/>
      <c r="M25" s="242"/>
      <c r="N25" s="242"/>
      <c r="O25" s="242"/>
      <c r="P25" s="131"/>
      <c r="Q25" s="243">
        <f t="shared" si="2"/>
        <v>727602.72000000009</v>
      </c>
      <c r="U25" s="218"/>
      <c r="V25" s="269"/>
    </row>
    <row r="26" spans="1:22" ht="15.75" customHeight="1">
      <c r="A26" s="130"/>
      <c r="B26" s="131" t="s">
        <v>130</v>
      </c>
      <c r="C26" s="131"/>
      <c r="D26" s="246">
        <v>17309.7</v>
      </c>
      <c r="E26" s="264">
        <v>8540</v>
      </c>
      <c r="F26" s="265">
        <v>72217</v>
      </c>
      <c r="G26" s="247">
        <v>10468</v>
      </c>
      <c r="H26" s="247">
        <v>6374.93</v>
      </c>
      <c r="I26" s="242">
        <v>3083</v>
      </c>
      <c r="J26" s="173">
        <v>6083</v>
      </c>
      <c r="K26" s="242">
        <v>6934.06</v>
      </c>
      <c r="L26" s="242"/>
      <c r="M26" s="242"/>
      <c r="N26" s="242"/>
      <c r="O26" s="242"/>
      <c r="P26" s="131"/>
      <c r="Q26" s="243">
        <f t="shared" si="2"/>
        <v>131009.69</v>
      </c>
      <c r="U26" s="218"/>
      <c r="V26" s="269"/>
    </row>
    <row r="27" spans="1:22" ht="15.75" customHeight="1">
      <c r="A27" s="130"/>
      <c r="B27" s="131" t="s">
        <v>131</v>
      </c>
      <c r="C27" s="131"/>
      <c r="D27" s="271">
        <f>46231.88-442.22-2299</f>
        <v>43490.659999999996</v>
      </c>
      <c r="E27" s="272">
        <f>31245.79-3129.14+304.75-11081.72+151.31</f>
        <v>17490.990000000002</v>
      </c>
      <c r="F27" s="247">
        <f>50929.15+103.59+-144.21</f>
        <v>50888.53</v>
      </c>
      <c r="G27" s="273">
        <f>46632.59-260-0.1+32.73</f>
        <v>46405.22</v>
      </c>
      <c r="H27" s="265">
        <f>27208.08-32.73</f>
        <v>27175.350000000002</v>
      </c>
      <c r="I27" s="267">
        <f>47089.73-31.98</f>
        <v>47057.75</v>
      </c>
      <c r="J27" s="173">
        <f>31389-244.15+4.49+3044+167.68+14.06</f>
        <v>34375.079999999994</v>
      </c>
      <c r="K27" s="242">
        <f>35340.1-5115.26+40.09-7750.92</f>
        <v>22514.009999999995</v>
      </c>
      <c r="L27" s="242"/>
      <c r="M27" s="242"/>
      <c r="N27" s="242"/>
      <c r="O27" s="242"/>
      <c r="P27" s="131"/>
      <c r="Q27" s="243">
        <f t="shared" si="2"/>
        <v>289397.59000000003</v>
      </c>
      <c r="U27" s="218"/>
      <c r="V27" s="269"/>
    </row>
    <row r="28" spans="1:22" ht="15.75" customHeight="1">
      <c r="A28" s="130"/>
      <c r="B28" s="131" t="s">
        <v>132</v>
      </c>
      <c r="C28" s="131"/>
      <c r="D28" s="246">
        <v>0</v>
      </c>
      <c r="E28" s="274">
        <v>3758.03</v>
      </c>
      <c r="F28" s="252">
        <f>111.63+3667</f>
        <v>3778.63</v>
      </c>
      <c r="G28" s="252">
        <v>0</v>
      </c>
      <c r="H28" s="252">
        <v>0</v>
      </c>
      <c r="I28" s="242">
        <v>0</v>
      </c>
      <c r="J28" s="268">
        <v>2500</v>
      </c>
      <c r="K28" s="242">
        <v>11259.29</v>
      </c>
      <c r="L28" s="242"/>
      <c r="M28" s="242"/>
      <c r="N28" s="242"/>
      <c r="O28" s="242"/>
      <c r="P28" s="131"/>
      <c r="Q28" s="243">
        <f t="shared" si="2"/>
        <v>21295.95</v>
      </c>
      <c r="U28" s="218"/>
      <c r="V28" s="269"/>
    </row>
    <row r="29" spans="1:22" ht="15.75" customHeight="1">
      <c r="A29" s="130"/>
      <c r="B29" s="131" t="s">
        <v>27</v>
      </c>
      <c r="C29" s="131"/>
      <c r="D29" s="271">
        <v>6000</v>
      </c>
      <c r="E29" s="275">
        <v>1810.66</v>
      </c>
      <c r="F29" s="242">
        <f>17823.35+1625</f>
        <v>19448.349999999999</v>
      </c>
      <c r="G29" s="242">
        <f>17166.02+17868-4768</f>
        <v>30266.020000000004</v>
      </c>
      <c r="H29" s="242">
        <f>274.39+6192.5</f>
        <v>6466.89</v>
      </c>
      <c r="I29" s="242">
        <f>492.46+5760</f>
        <v>6252.46</v>
      </c>
      <c r="J29" s="173">
        <f>6097.33+5959-3044</f>
        <v>9012.33</v>
      </c>
      <c r="K29" s="242">
        <f>1444.57+6120</f>
        <v>7564.57</v>
      </c>
      <c r="L29" s="242"/>
      <c r="M29" s="242"/>
      <c r="N29" s="242"/>
      <c r="O29" s="242"/>
      <c r="P29" s="131"/>
      <c r="Q29" s="243">
        <f t="shared" si="2"/>
        <v>86821.28</v>
      </c>
      <c r="U29" s="218"/>
      <c r="V29" s="269"/>
    </row>
    <row r="30" spans="1:22" ht="15.75" customHeight="1">
      <c r="A30" s="130"/>
      <c r="B30" s="131" t="s">
        <v>133</v>
      </c>
      <c r="C30" s="131"/>
      <c r="D30" s="276">
        <f>10416.14+2299</f>
        <v>12715.14</v>
      </c>
      <c r="E30" s="277">
        <f>3129.14+3805.13</f>
        <v>6934.27</v>
      </c>
      <c r="F30" s="278">
        <v>4630</v>
      </c>
      <c r="G30" s="278">
        <f>4630+2199.72</f>
        <v>6829.7199999999993</v>
      </c>
      <c r="H30" s="278">
        <v>4630</v>
      </c>
      <c r="I30" s="278">
        <f>31.98</f>
        <v>31.98</v>
      </c>
      <c r="J30" s="173">
        <f>4789.99+244.15</f>
        <v>5034.1399999999994</v>
      </c>
      <c r="K30" s="278">
        <f>5115.26+4630</f>
        <v>9745.26</v>
      </c>
      <c r="L30" s="278"/>
      <c r="M30" s="278"/>
      <c r="N30" s="278"/>
      <c r="O30" s="278"/>
      <c r="P30" s="131"/>
      <c r="Q30" s="243">
        <f t="shared" si="2"/>
        <v>50550.51</v>
      </c>
      <c r="U30" s="218"/>
      <c r="V30" s="269"/>
    </row>
    <row r="31" spans="1:22" ht="15.75" customHeight="1">
      <c r="A31" s="130" t="s">
        <v>134</v>
      </c>
      <c r="B31" s="130"/>
      <c r="C31" s="130"/>
      <c r="D31" s="279">
        <f t="shared" ref="D31:O31" si="3">SUM(D20:D30)</f>
        <v>1221499.2799999998</v>
      </c>
      <c r="E31" s="279">
        <f t="shared" si="3"/>
        <v>1269399.8899999999</v>
      </c>
      <c r="F31" s="279">
        <f t="shared" si="3"/>
        <v>1518589.5699999998</v>
      </c>
      <c r="G31" s="279">
        <f t="shared" si="3"/>
        <v>1315407.99</v>
      </c>
      <c r="H31" s="279">
        <f t="shared" si="3"/>
        <v>1258267.7599999998</v>
      </c>
      <c r="I31" s="279">
        <f t="shared" si="3"/>
        <v>1335277.3500000001</v>
      </c>
      <c r="J31" s="279">
        <f t="shared" si="3"/>
        <v>1282867.6000000001</v>
      </c>
      <c r="K31" s="279">
        <f t="shared" si="3"/>
        <v>1288599.1999999997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279">
        <f t="shared" si="3"/>
        <v>0</v>
      </c>
      <c r="P31" s="131"/>
      <c r="Q31" s="256">
        <f t="shared" si="2"/>
        <v>10489908.639999999</v>
      </c>
      <c r="U31" s="218"/>
    </row>
    <row r="32" spans="1:22" ht="15.75" customHeight="1">
      <c r="A32" s="131"/>
      <c r="B32" s="132"/>
      <c r="C32" s="131"/>
      <c r="D32" s="138"/>
      <c r="E32" s="138"/>
      <c r="F32" s="138"/>
      <c r="G32" s="138"/>
      <c r="H32" s="138"/>
      <c r="I32" s="138"/>
      <c r="J32" s="138"/>
      <c r="K32" s="280"/>
      <c r="L32" s="280"/>
      <c r="M32" s="138"/>
      <c r="N32" s="138"/>
      <c r="O32" s="138"/>
      <c r="P32" s="131"/>
      <c r="Q32" s="210"/>
      <c r="U32" s="210"/>
    </row>
    <row r="33" spans="1:21" ht="15.75" customHeight="1">
      <c r="A33" s="213" t="s">
        <v>135</v>
      </c>
      <c r="B33" s="131"/>
      <c r="C33" s="131"/>
      <c r="D33" s="281">
        <f t="shared" ref="D33:O33" si="4">D17-D31</f>
        <v>-1122478.1399999999</v>
      </c>
      <c r="E33" s="281">
        <f t="shared" si="4"/>
        <v>675244.69</v>
      </c>
      <c r="F33" s="281">
        <f t="shared" si="4"/>
        <v>231562.2200000002</v>
      </c>
      <c r="G33" s="281">
        <f t="shared" si="4"/>
        <v>248311.72999999998</v>
      </c>
      <c r="H33" s="281">
        <f t="shared" si="4"/>
        <v>398175.99</v>
      </c>
      <c r="I33" s="281">
        <f t="shared" si="4"/>
        <v>445178.37999999989</v>
      </c>
      <c r="J33" s="281">
        <f t="shared" si="4"/>
        <v>408423.51</v>
      </c>
      <c r="K33" s="217">
        <f t="shared" si="4"/>
        <v>579215.24000000022</v>
      </c>
      <c r="L33" s="217">
        <f t="shared" si="4"/>
        <v>0</v>
      </c>
      <c r="M33" s="281">
        <f t="shared" si="4"/>
        <v>0</v>
      </c>
      <c r="N33" s="281">
        <f t="shared" si="4"/>
        <v>0</v>
      </c>
      <c r="O33" s="281">
        <f t="shared" si="4"/>
        <v>0</v>
      </c>
      <c r="P33" s="131"/>
      <c r="Q33" s="282">
        <f>SUM(D33:O33)</f>
        <v>1863633.6200000003</v>
      </c>
      <c r="U33" s="218"/>
    </row>
    <row r="34" spans="1:21" ht="15.75" customHeight="1">
      <c r="A34" s="213"/>
      <c r="B34" s="131"/>
      <c r="C34" s="131"/>
      <c r="D34" s="283"/>
      <c r="E34" s="283"/>
      <c r="F34" s="283"/>
      <c r="G34" s="283"/>
      <c r="H34" s="283"/>
      <c r="I34" s="283"/>
      <c r="J34" s="283"/>
      <c r="K34" s="218"/>
      <c r="L34" s="218"/>
      <c r="M34" s="283"/>
      <c r="N34" s="283"/>
      <c r="O34" s="283"/>
      <c r="P34" s="131"/>
      <c r="Q34" s="218"/>
      <c r="U34" s="218"/>
    </row>
    <row r="35" spans="1:21" ht="15.75" customHeight="1">
      <c r="A35" s="213"/>
      <c r="B35" s="131" t="s">
        <v>145</v>
      </c>
      <c r="C35" s="131"/>
      <c r="D35" s="284">
        <v>0</v>
      </c>
      <c r="E35" s="285">
        <v>0</v>
      </c>
      <c r="F35" s="285">
        <v>0</v>
      </c>
      <c r="G35" s="285">
        <v>0</v>
      </c>
      <c r="H35" s="285">
        <v>0</v>
      </c>
      <c r="I35" s="285">
        <f>-36408.14+36408.14</f>
        <v>0</v>
      </c>
      <c r="J35" s="285">
        <v>0</v>
      </c>
      <c r="K35" s="286">
        <v>0</v>
      </c>
      <c r="L35" s="286">
        <v>0</v>
      </c>
      <c r="M35" s="286">
        <v>0</v>
      </c>
      <c r="N35" s="286">
        <v>0</v>
      </c>
      <c r="O35" s="287">
        <v>0</v>
      </c>
      <c r="P35" s="131"/>
      <c r="Q35" s="282">
        <f t="shared" ref="Q35:Q37" si="5">SUM(D35:O35)</f>
        <v>0</v>
      </c>
      <c r="U35" s="218"/>
    </row>
    <row r="36" spans="1:21" ht="15.75" customHeight="1">
      <c r="A36" s="213"/>
      <c r="B36" s="131" t="s">
        <v>146</v>
      </c>
      <c r="C36" s="131"/>
      <c r="D36" s="288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  <c r="K36" s="132">
        <v>0</v>
      </c>
      <c r="L36" s="132">
        <v>0</v>
      </c>
      <c r="M36" s="132">
        <v>0</v>
      </c>
      <c r="N36" s="132">
        <v>0</v>
      </c>
      <c r="O36" s="289">
        <v>0</v>
      </c>
      <c r="P36" s="131"/>
      <c r="Q36" s="282">
        <f t="shared" si="5"/>
        <v>0</v>
      </c>
      <c r="U36" s="218"/>
    </row>
    <row r="37" spans="1:21" ht="15.75" customHeight="1">
      <c r="A37" s="213"/>
      <c r="B37" s="131"/>
      <c r="C37" s="131"/>
      <c r="D37" s="290">
        <f t="shared" ref="D37:M37" si="6">SUM(D35-D36)</f>
        <v>0</v>
      </c>
      <c r="E37" s="290">
        <f t="shared" si="6"/>
        <v>0</v>
      </c>
      <c r="F37" s="290">
        <f t="shared" si="6"/>
        <v>0</v>
      </c>
      <c r="G37" s="290">
        <f t="shared" si="6"/>
        <v>0</v>
      </c>
      <c r="H37" s="290">
        <f t="shared" si="6"/>
        <v>0</v>
      </c>
      <c r="I37" s="290">
        <f t="shared" si="6"/>
        <v>0</v>
      </c>
      <c r="J37" s="290">
        <f t="shared" si="6"/>
        <v>0</v>
      </c>
      <c r="K37" s="290">
        <f t="shared" si="6"/>
        <v>0</v>
      </c>
      <c r="L37" s="290">
        <f t="shared" si="6"/>
        <v>0</v>
      </c>
      <c r="M37" s="290">
        <f t="shared" si="6"/>
        <v>0</v>
      </c>
      <c r="N37" s="290">
        <f t="shared" ref="N37:O37" si="7">N35-N36</f>
        <v>0</v>
      </c>
      <c r="O37" s="290">
        <f t="shared" si="7"/>
        <v>0</v>
      </c>
      <c r="P37" s="131"/>
      <c r="Q37" s="291">
        <f t="shared" si="5"/>
        <v>0</v>
      </c>
      <c r="U37" s="218"/>
    </row>
    <row r="38" spans="1:21" ht="15.75" customHeight="1">
      <c r="A38" s="213"/>
      <c r="B38" s="131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1"/>
      <c r="Q38" s="210"/>
      <c r="U38" s="210"/>
    </row>
    <row r="39" spans="1:21" ht="15.75" customHeight="1">
      <c r="A39" s="213" t="s">
        <v>147</v>
      </c>
      <c r="B39" s="131"/>
      <c r="C39" s="131"/>
      <c r="D39" s="281">
        <f t="shared" ref="D39:O39" si="8">D33+D37</f>
        <v>-1122478.1399999999</v>
      </c>
      <c r="E39" s="281">
        <f t="shared" si="8"/>
        <v>675244.69</v>
      </c>
      <c r="F39" s="281">
        <f t="shared" si="8"/>
        <v>231562.2200000002</v>
      </c>
      <c r="G39" s="281">
        <f t="shared" si="8"/>
        <v>248311.72999999998</v>
      </c>
      <c r="H39" s="281">
        <f t="shared" si="8"/>
        <v>398175.99</v>
      </c>
      <c r="I39" s="281">
        <f t="shared" si="8"/>
        <v>445178.37999999989</v>
      </c>
      <c r="J39" s="281">
        <f t="shared" si="8"/>
        <v>408423.51</v>
      </c>
      <c r="K39" s="281">
        <f t="shared" si="8"/>
        <v>579215.24000000022</v>
      </c>
      <c r="L39" s="281">
        <f t="shared" si="8"/>
        <v>0</v>
      </c>
      <c r="M39" s="281">
        <f t="shared" si="8"/>
        <v>0</v>
      </c>
      <c r="N39" s="281">
        <f t="shared" si="8"/>
        <v>0</v>
      </c>
      <c r="O39" s="281">
        <f t="shared" si="8"/>
        <v>0</v>
      </c>
      <c r="P39" s="131"/>
      <c r="Q39" s="282">
        <f>SUM(D39:O39)</f>
        <v>1863633.6200000003</v>
      </c>
      <c r="U39" s="218"/>
    </row>
    <row r="40" spans="1:21" ht="15.75" customHeight="1">
      <c r="A40" s="130"/>
      <c r="B40" s="131"/>
      <c r="C40" s="131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1"/>
      <c r="Q40" s="210"/>
      <c r="U40" s="210"/>
    </row>
    <row r="41" spans="1:21" ht="15.75" customHeight="1">
      <c r="A41" s="130" t="s">
        <v>136</v>
      </c>
      <c r="C41" s="217">
        <v>0</v>
      </c>
      <c r="D41" s="292">
        <f>SUM('Cash Balances'!I6:I20)</f>
        <v>1884071.9199999997</v>
      </c>
      <c r="E41" s="292">
        <f>SUM('Cash Balances'!J6:J20)</f>
        <v>2495577.3099999996</v>
      </c>
      <c r="F41" s="292">
        <f>SUM('Cash Balances'!K6:K20)</f>
        <v>2728828.34</v>
      </c>
      <c r="G41" s="292">
        <f>SUM('Cash Balances'!L6:L19)</f>
        <v>2945830.04</v>
      </c>
      <c r="H41" s="292">
        <f>SUM('Cash Balances'!M6:M19)</f>
        <v>3338626.6</v>
      </c>
      <c r="I41" s="292">
        <f>SUM('Cash Balances'!N6:N19)</f>
        <v>3738380.9399999995</v>
      </c>
      <c r="J41" s="292">
        <f>SUM('Cash Balances'!O6:O19)</f>
        <v>4179994.48</v>
      </c>
      <c r="K41" s="292">
        <f>SUM('Cash Balances'!P6:P19)</f>
        <v>5464303.4299999988</v>
      </c>
      <c r="L41" s="292">
        <f>SUM('Cash Balances'!Q6:Q19)</f>
        <v>0</v>
      </c>
      <c r="M41" s="292">
        <f>SUM('Cash Balances'!R6:R19)</f>
        <v>0</v>
      </c>
      <c r="N41" s="292">
        <f>SUM('Cash Balances'!S6:S19)</f>
        <v>0</v>
      </c>
      <c r="O41" s="292">
        <f>SUM('Cash Balances'!T6:T19)</f>
        <v>0</v>
      </c>
      <c r="P41" s="131"/>
    </row>
    <row r="42" spans="1:21" ht="15.75" customHeight="1">
      <c r="A42" s="130"/>
      <c r="B42" s="131"/>
      <c r="C42" s="219"/>
      <c r="D42" s="293" t="s">
        <v>138</v>
      </c>
      <c r="E42" s="294" t="s">
        <v>138</v>
      </c>
      <c r="F42" s="295" t="s">
        <v>138</v>
      </c>
      <c r="G42" s="295" t="s">
        <v>138</v>
      </c>
      <c r="H42" s="295" t="s">
        <v>138</v>
      </c>
      <c r="I42" s="295" t="s">
        <v>138</v>
      </c>
      <c r="J42" s="295" t="s">
        <v>138</v>
      </c>
      <c r="K42" s="295" t="s">
        <v>138</v>
      </c>
      <c r="L42" s="295" t="s">
        <v>138</v>
      </c>
      <c r="M42" s="295" t="s">
        <v>138</v>
      </c>
      <c r="N42" s="295" t="s">
        <v>138</v>
      </c>
      <c r="O42" s="295" t="s">
        <v>138</v>
      </c>
      <c r="P42" s="131"/>
      <c r="Q42" s="185"/>
      <c r="R42" s="185"/>
      <c r="S42" s="185"/>
      <c r="T42" s="185"/>
      <c r="U42" s="185"/>
    </row>
    <row r="43" spans="1:21" ht="15.75" customHeight="1">
      <c r="A43" s="296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</row>
    <row r="44" spans="1:21" ht="15.75" customHeight="1">
      <c r="A44" s="296"/>
      <c r="B44" s="296" t="s">
        <v>148</v>
      </c>
      <c r="C44" s="296"/>
      <c r="D44" s="297">
        <f>D41-(SUM('Cash Balances'!H6:H20))</f>
        <v>-1291874.7300000007</v>
      </c>
      <c r="E44" s="134">
        <f t="shared" ref="E44:O44" si="9">E41-D41</f>
        <v>611505.3899999999</v>
      </c>
      <c r="F44" s="297">
        <f t="shared" si="9"/>
        <v>233251.03000000026</v>
      </c>
      <c r="G44" s="297">
        <f t="shared" si="9"/>
        <v>217001.70000000019</v>
      </c>
      <c r="H44" s="297">
        <f t="shared" si="9"/>
        <v>392796.56000000006</v>
      </c>
      <c r="I44" s="297">
        <f t="shared" si="9"/>
        <v>399754.33999999939</v>
      </c>
      <c r="J44" s="297">
        <f t="shared" si="9"/>
        <v>441613.5400000005</v>
      </c>
      <c r="K44" s="297">
        <f t="shared" si="9"/>
        <v>1284308.9499999988</v>
      </c>
      <c r="L44" s="297">
        <f t="shared" si="9"/>
        <v>-5464303.4299999988</v>
      </c>
      <c r="M44" s="297">
        <f t="shared" si="9"/>
        <v>0</v>
      </c>
      <c r="N44" s="297">
        <f t="shared" si="9"/>
        <v>0</v>
      </c>
      <c r="O44" s="297">
        <f t="shared" si="9"/>
        <v>0</v>
      </c>
    </row>
    <row r="45" spans="1:21" ht="15.75" customHeight="1">
      <c r="A45" s="296"/>
      <c r="B45" s="296" t="s">
        <v>149</v>
      </c>
      <c r="C45" s="296"/>
      <c r="D45" s="297">
        <f t="shared" ref="D45:O45" si="10">D39</f>
        <v>-1122478.1399999999</v>
      </c>
      <c r="E45" s="297">
        <f t="shared" si="10"/>
        <v>675244.69</v>
      </c>
      <c r="F45" s="297">
        <f t="shared" si="10"/>
        <v>231562.2200000002</v>
      </c>
      <c r="G45" s="297">
        <f t="shared" si="10"/>
        <v>248311.72999999998</v>
      </c>
      <c r="H45" s="297">
        <f t="shared" si="10"/>
        <v>398175.99</v>
      </c>
      <c r="I45" s="297">
        <f t="shared" si="10"/>
        <v>445178.37999999989</v>
      </c>
      <c r="J45" s="297">
        <f t="shared" si="10"/>
        <v>408423.51</v>
      </c>
      <c r="K45" s="297">
        <f t="shared" si="10"/>
        <v>579215.24000000022</v>
      </c>
      <c r="L45" s="297">
        <f t="shared" si="10"/>
        <v>0</v>
      </c>
      <c r="M45" s="297">
        <f t="shared" si="10"/>
        <v>0</v>
      </c>
      <c r="N45" s="297">
        <f t="shared" si="10"/>
        <v>0</v>
      </c>
      <c r="O45" s="297">
        <f t="shared" si="10"/>
        <v>0</v>
      </c>
    </row>
    <row r="46" spans="1:21" ht="15.75" customHeight="1">
      <c r="A46" s="296"/>
      <c r="B46" s="296" t="s">
        <v>114</v>
      </c>
      <c r="C46" s="296"/>
      <c r="D46" s="298">
        <f t="shared" ref="D46:O46" si="11">D44-D45</f>
        <v>-169396.59000000078</v>
      </c>
      <c r="E46" s="298">
        <f t="shared" si="11"/>
        <v>-63739.300000000047</v>
      </c>
      <c r="F46" s="298">
        <f t="shared" si="11"/>
        <v>1688.8100000000559</v>
      </c>
      <c r="G46" s="298">
        <f t="shared" si="11"/>
        <v>-31310.029999999795</v>
      </c>
      <c r="H46" s="298">
        <f t="shared" si="11"/>
        <v>-5379.4299999999348</v>
      </c>
      <c r="I46" s="298">
        <f t="shared" si="11"/>
        <v>-45424.040000000503</v>
      </c>
      <c r="J46" s="298">
        <f t="shared" si="11"/>
        <v>33190.030000000494</v>
      </c>
      <c r="K46" s="298">
        <f t="shared" si="11"/>
        <v>705093.70999999857</v>
      </c>
      <c r="L46" s="298">
        <f t="shared" si="11"/>
        <v>-5464303.4299999988</v>
      </c>
      <c r="M46" s="298">
        <f t="shared" si="11"/>
        <v>0</v>
      </c>
      <c r="N46" s="298">
        <f t="shared" si="11"/>
        <v>0</v>
      </c>
      <c r="O46" s="298">
        <f t="shared" si="11"/>
        <v>0</v>
      </c>
    </row>
    <row r="47" spans="1:21" ht="15.75" customHeight="1">
      <c r="K47" s="299"/>
    </row>
    <row r="48" spans="1:21" ht="15.75" customHeight="1"/>
    <row r="49" spans="4:10" ht="15.75" customHeight="1">
      <c r="E49" s="300" t="s">
        <v>150</v>
      </c>
    </row>
    <row r="50" spans="4:10" ht="15.75" customHeight="1">
      <c r="E50" s="301" t="s">
        <v>151</v>
      </c>
      <c r="F50" s="302" t="s">
        <v>152</v>
      </c>
    </row>
    <row r="51" spans="4:10" ht="15.75" customHeight="1"/>
    <row r="52" spans="4:10" ht="15.75" customHeight="1"/>
    <row r="53" spans="4:10" ht="15.75" customHeight="1"/>
    <row r="54" spans="4:10" ht="15.75" customHeight="1"/>
    <row r="55" spans="4:10" ht="15.75" customHeight="1">
      <c r="D55" s="134"/>
      <c r="E55" s="134"/>
      <c r="F55" s="134"/>
      <c r="G55" s="134"/>
      <c r="H55" s="134"/>
      <c r="I55" s="134"/>
      <c r="J55" s="134"/>
    </row>
    <row r="56" spans="4:10" ht="15.75" customHeight="1"/>
    <row r="57" spans="4:10" ht="15.75" customHeight="1"/>
    <row r="58" spans="4:10" ht="15.75" customHeight="1"/>
    <row r="59" spans="4:10" ht="15.75" customHeight="1"/>
    <row r="60" spans="4:10" ht="15.75" customHeight="1"/>
    <row r="61" spans="4:10" ht="15.75" customHeight="1"/>
    <row r="62" spans="4:10" ht="15.75" customHeight="1"/>
    <row r="63" spans="4:10" ht="15.75" customHeight="1"/>
    <row r="64" spans="4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4:H4"/>
    <mergeCell ref="I4:K4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00"/>
  <sheetViews>
    <sheetView tabSelected="1" workbookViewId="0">
      <selection activeCell="Y7" sqref="Y7"/>
    </sheetView>
  </sheetViews>
  <sheetFormatPr defaultColWidth="14.42578125" defaultRowHeight="15" customHeight="1" outlineLevelCol="1"/>
  <cols>
    <col min="1" max="1" width="0.42578125" customWidth="1"/>
    <col min="2" max="2" width="16.28515625" customWidth="1"/>
    <col min="3" max="3" width="33.140625" customWidth="1"/>
    <col min="4" max="4" width="15.28515625" hidden="1" customWidth="1"/>
    <col min="5" max="5" width="13.42578125" customWidth="1"/>
    <col min="6" max="6" width="3.140625" customWidth="1"/>
    <col min="7" max="7" width="13.140625" customWidth="1"/>
    <col min="8" max="8" width="2.5703125" customWidth="1"/>
    <col min="9" max="9" width="13.42578125" customWidth="1"/>
    <col min="10" max="10" width="11" customWidth="1"/>
    <col min="11" max="11" width="3.85546875" customWidth="1"/>
    <col min="13" max="14" width="10.85546875" customWidth="1"/>
    <col min="15" max="15" width="1.28515625" customWidth="1"/>
    <col min="16" max="16" width="4.42578125" customWidth="1"/>
    <col min="17" max="17" width="25.85546875" customWidth="1"/>
    <col min="18" max="18" width="5.42578125" customWidth="1"/>
    <col min="20" max="22" width="0" hidden="1" customWidth="1" outlineLevel="1"/>
    <col min="23" max="23" width="14.42578125" collapsed="1"/>
  </cols>
  <sheetData>
    <row r="1" spans="2:21">
      <c r="B1" s="130" t="s">
        <v>103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96"/>
      <c r="Q1" s="303" t="s">
        <v>153</v>
      </c>
      <c r="R1" s="304">
        <f>8/12</f>
        <v>0.66666666666666663</v>
      </c>
      <c r="S1" s="305"/>
    </row>
    <row r="2" spans="2:21">
      <c r="B2" s="130" t="s">
        <v>154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96"/>
      <c r="R2" s="306"/>
    </row>
    <row r="3" spans="2:21">
      <c r="B3" s="233">
        <f>'Cash Flow - Actual'!A3</f>
        <v>45351</v>
      </c>
      <c r="C3" s="131"/>
      <c r="D3" s="131"/>
      <c r="E3" s="307"/>
      <c r="F3" s="307"/>
      <c r="G3" s="308"/>
      <c r="H3" s="307"/>
      <c r="I3" s="307"/>
      <c r="J3" s="307"/>
      <c r="K3" s="130"/>
      <c r="L3" s="307"/>
      <c r="M3" s="307"/>
      <c r="N3" s="296"/>
      <c r="O3" s="296"/>
    </row>
    <row r="4" spans="2:21">
      <c r="B4" s="130"/>
      <c r="C4" s="131"/>
      <c r="D4" s="309" t="s">
        <v>155</v>
      </c>
      <c r="E4" s="310" t="s">
        <v>156</v>
      </c>
      <c r="F4" s="311"/>
      <c r="G4" s="312" t="s">
        <v>157</v>
      </c>
      <c r="H4" s="311"/>
      <c r="I4" s="312" t="s">
        <v>157</v>
      </c>
      <c r="J4" s="313" t="s">
        <v>157</v>
      </c>
      <c r="K4" s="140"/>
      <c r="L4" s="314" t="s">
        <v>112</v>
      </c>
      <c r="M4" s="315" t="s">
        <v>158</v>
      </c>
      <c r="N4" s="315" t="s">
        <v>159</v>
      </c>
      <c r="O4" s="296"/>
    </row>
    <row r="5" spans="2:21">
      <c r="B5" s="130"/>
      <c r="C5" s="131"/>
      <c r="D5" s="316" t="s">
        <v>138</v>
      </c>
      <c r="E5" s="317" t="s">
        <v>138</v>
      </c>
      <c r="F5" s="307"/>
      <c r="G5" s="318" t="s">
        <v>160</v>
      </c>
      <c r="H5" s="307"/>
      <c r="I5" s="318" t="s">
        <v>161</v>
      </c>
      <c r="J5" s="319" t="s">
        <v>162</v>
      </c>
      <c r="K5" s="140"/>
      <c r="L5" s="320" t="s">
        <v>160</v>
      </c>
      <c r="M5" s="321" t="s">
        <v>160</v>
      </c>
      <c r="N5" s="321" t="s">
        <v>163</v>
      </c>
      <c r="O5" s="296"/>
      <c r="Q5" s="322" t="s">
        <v>164</v>
      </c>
    </row>
    <row r="6" spans="2:21">
      <c r="B6" s="130" t="s">
        <v>12</v>
      </c>
      <c r="C6" s="131"/>
      <c r="D6" s="323"/>
      <c r="E6" s="324"/>
      <c r="F6" s="325"/>
      <c r="G6" s="326"/>
      <c r="H6" s="327"/>
      <c r="I6" s="328"/>
      <c r="J6" s="325"/>
      <c r="K6" s="131"/>
      <c r="L6" s="329"/>
      <c r="M6" s="330"/>
      <c r="N6" s="331"/>
      <c r="O6" s="296"/>
      <c r="Q6" s="332"/>
    </row>
    <row r="7" spans="2:21">
      <c r="B7" s="130"/>
      <c r="C7" s="131" t="s">
        <v>116</v>
      </c>
      <c r="D7" s="333">
        <f>8738926.01+52824.49</f>
        <v>8791750.5</v>
      </c>
      <c r="E7" s="334">
        <f>'Cash Flow - Actual'!Q7</f>
        <v>10477170.51</v>
      </c>
      <c r="F7" s="335"/>
      <c r="G7" s="334">
        <f>SUM('Cash Flow BOP '!D7:K7)</f>
        <v>8762996.1999999993</v>
      </c>
      <c r="H7" s="336"/>
      <c r="I7" s="337">
        <f t="shared" ref="I7:I17" si="0">E7-G7</f>
        <v>1714174.3100000005</v>
      </c>
      <c r="J7" s="338">
        <f t="shared" ref="J7:J17" si="1">I7/G7</f>
        <v>0.1956150922443628</v>
      </c>
      <c r="K7" s="339" t="s">
        <v>165</v>
      </c>
      <c r="L7" s="340">
        <f>'Cash Flow BOP '!S7</f>
        <v>12518565.999999998</v>
      </c>
      <c r="M7" s="341">
        <f t="shared" ref="M7:M17" si="2">E7/L7</f>
        <v>0.83693056457105397</v>
      </c>
      <c r="N7" s="342"/>
      <c r="O7" s="296"/>
      <c r="Q7" s="343">
        <f>'Cash Flow - Actual'!K7-'Cash Flow BOP '!K7</f>
        <v>291810.64999999991</v>
      </c>
      <c r="T7" s="517">
        <f>E7/8*12</f>
        <v>15715755.765000001</v>
      </c>
      <c r="U7" s="517">
        <v>14973572.324999999</v>
      </c>
    </row>
    <row r="8" spans="2:21">
      <c r="B8" s="130"/>
      <c r="C8" s="131" t="s">
        <v>144</v>
      </c>
      <c r="D8" s="333"/>
      <c r="E8" s="334">
        <f>'Cash Flow - Actual'!Q8</f>
        <v>380065.15</v>
      </c>
      <c r="F8" s="335"/>
      <c r="G8" s="334">
        <f>SUM('Cash Flow BOP '!D8:K8)</f>
        <v>160858</v>
      </c>
      <c r="H8" s="336"/>
      <c r="I8" s="344">
        <f t="shared" si="0"/>
        <v>219207.15000000002</v>
      </c>
      <c r="J8" s="345">
        <f t="shared" si="1"/>
        <v>1.362737010282361</v>
      </c>
      <c r="K8" s="342" t="s">
        <v>166</v>
      </c>
      <c r="L8" s="340">
        <f>'Cash Flow BOP '!S8</f>
        <v>160858</v>
      </c>
      <c r="M8" s="341">
        <f t="shared" si="2"/>
        <v>2.3627370102823608</v>
      </c>
      <c r="N8" s="342"/>
      <c r="O8" s="296"/>
      <c r="Q8" s="343">
        <f>'Cash Flow - Actual'!K8-'Cash Flow BOP '!K8</f>
        <v>151944.58000000002</v>
      </c>
      <c r="T8" s="517">
        <f t="shared" ref="T8:T16" si="3">E8/8*12</f>
        <v>570097.72500000009</v>
      </c>
      <c r="U8" s="517">
        <v>422436</v>
      </c>
    </row>
    <row r="9" spans="2:21">
      <c r="B9" s="130"/>
      <c r="C9" s="131" t="s">
        <v>118</v>
      </c>
      <c r="D9" s="346">
        <v>31599.4</v>
      </c>
      <c r="E9" s="334">
        <f>'Cash Flow - Actual'!Q9</f>
        <v>539590.3600000001</v>
      </c>
      <c r="F9" s="335"/>
      <c r="G9" s="334">
        <f>SUM('Cash Flow BOP '!D9:K9)</f>
        <v>368206.67000000004</v>
      </c>
      <c r="H9" s="336"/>
      <c r="I9" s="347">
        <f t="shared" si="0"/>
        <v>171383.69000000006</v>
      </c>
      <c r="J9" s="338">
        <f t="shared" si="1"/>
        <v>0.46545514778425945</v>
      </c>
      <c r="K9" s="339" t="s">
        <v>167</v>
      </c>
      <c r="L9" s="340">
        <f>'Cash Flow BOP '!S9</f>
        <v>775220</v>
      </c>
      <c r="M9" s="341">
        <f t="shared" si="2"/>
        <v>0.69604803797631654</v>
      </c>
      <c r="N9" s="342"/>
      <c r="O9" s="296"/>
      <c r="Q9" s="343">
        <f>'Cash Flow - Actual'!K9-'Cash Flow BOP '!K9</f>
        <v>-21250</v>
      </c>
      <c r="T9" s="517">
        <f t="shared" si="3"/>
        <v>809385.54000000015</v>
      </c>
      <c r="U9" s="517"/>
    </row>
    <row r="10" spans="2:21">
      <c r="B10" s="130"/>
      <c r="C10" s="131" t="s">
        <v>119</v>
      </c>
      <c r="D10" s="348">
        <v>1000</v>
      </c>
      <c r="E10" s="334">
        <f>'Cash Flow - Actual'!Q10</f>
        <v>130954.86000000002</v>
      </c>
      <c r="F10" s="335"/>
      <c r="G10" s="334">
        <f>SUM('Cash Flow BOP '!D10:K10)</f>
        <v>118500</v>
      </c>
      <c r="H10" s="336"/>
      <c r="I10" s="337">
        <f t="shared" si="0"/>
        <v>12454.860000000015</v>
      </c>
      <c r="J10" s="338">
        <f t="shared" si="1"/>
        <v>0.10510430379746848</v>
      </c>
      <c r="K10" s="339" t="s">
        <v>168</v>
      </c>
      <c r="L10" s="340">
        <f>'Cash Flow BOP '!S10</f>
        <v>175000</v>
      </c>
      <c r="M10" s="341">
        <f t="shared" si="2"/>
        <v>0.7483134857142858</v>
      </c>
      <c r="N10" s="342"/>
      <c r="O10" s="296"/>
      <c r="Q10" s="343">
        <f>'Cash Flow - Actual'!K10-'Cash Flow BOP '!K10</f>
        <v>-12386.26</v>
      </c>
      <c r="T10" s="517">
        <f t="shared" si="3"/>
        <v>196432.29000000004</v>
      </c>
      <c r="U10" s="517"/>
    </row>
    <row r="11" spans="2:21">
      <c r="B11" s="130"/>
      <c r="C11" s="131" t="s">
        <v>120</v>
      </c>
      <c r="D11" s="349">
        <f>123388.42+96458</f>
        <v>219846.41999999998</v>
      </c>
      <c r="E11" s="334">
        <f>'Cash Flow - Actual'!Q11</f>
        <v>127082.99</v>
      </c>
      <c r="F11" s="335"/>
      <c r="G11" s="334">
        <f>SUM('Cash Flow BOP '!D11:K11)</f>
        <v>142000</v>
      </c>
      <c r="H11" s="336"/>
      <c r="I11" s="337">
        <f t="shared" si="0"/>
        <v>-14917.009999999995</v>
      </c>
      <c r="J11" s="338">
        <f t="shared" si="1"/>
        <v>-0.10504936619718307</v>
      </c>
      <c r="K11" s="350" t="s">
        <v>169</v>
      </c>
      <c r="L11" s="340">
        <f>'Cash Flow BOP '!S11</f>
        <v>200000</v>
      </c>
      <c r="M11" s="341">
        <f t="shared" si="2"/>
        <v>0.63541495000000003</v>
      </c>
      <c r="N11" s="342"/>
      <c r="O11" s="296"/>
      <c r="Q11" s="343">
        <f>'Cash Flow - Actual'!K11-'Cash Flow BOP '!K11</f>
        <v>5970.27</v>
      </c>
      <c r="T11" s="517">
        <f t="shared" si="3"/>
        <v>190624.48500000002</v>
      </c>
      <c r="U11" s="517">
        <v>200000</v>
      </c>
    </row>
    <row r="12" spans="2:21">
      <c r="B12" s="130"/>
      <c r="C12" s="131" t="s">
        <v>121</v>
      </c>
      <c r="D12" s="346">
        <f>451295.95+9636.58</f>
        <v>460932.53</v>
      </c>
      <c r="E12" s="334">
        <f>'Cash Flow - Actual'!Q12</f>
        <v>310583.77999999997</v>
      </c>
      <c r="F12" s="335"/>
      <c r="G12" s="334">
        <f>SUM('Cash Flow BOP '!D12:K12)</f>
        <v>291015</v>
      </c>
      <c r="H12" s="336"/>
      <c r="I12" s="344">
        <f t="shared" si="0"/>
        <v>19568.77999999997</v>
      </c>
      <c r="J12" s="345">
        <f t="shared" si="1"/>
        <v>6.724320052230974E-2</v>
      </c>
      <c r="K12" s="339" t="s">
        <v>170</v>
      </c>
      <c r="L12" s="340">
        <f>'Cash Flow BOP '!S12</f>
        <v>408600</v>
      </c>
      <c r="M12" s="341">
        <f t="shared" si="2"/>
        <v>0.76011693587860985</v>
      </c>
      <c r="N12" s="342"/>
      <c r="O12" s="296"/>
      <c r="Q12" s="343">
        <f>'Cash Flow - Actual'!K12-'Cash Flow BOP '!K12</f>
        <v>9420.6900000000023</v>
      </c>
      <c r="T12" s="517">
        <f t="shared" si="3"/>
        <v>465875.66999999993</v>
      </c>
      <c r="U12" s="517">
        <f>'[1]FY24 Budget Summary'!$J$28-U13-U14</f>
        <v>454500</v>
      </c>
    </row>
    <row r="13" spans="2:21">
      <c r="B13" s="130"/>
      <c r="C13" s="131" t="s">
        <v>171</v>
      </c>
      <c r="D13" s="348">
        <v>272916.47999999998</v>
      </c>
      <c r="E13" s="334">
        <f>'Cash Flow - Actual'!Q13</f>
        <v>200894.5</v>
      </c>
      <c r="F13" s="335"/>
      <c r="G13" s="334">
        <f>SUM('Cash Flow BOP '!D13:K13)</f>
        <v>174545.43999999997</v>
      </c>
      <c r="H13" s="336"/>
      <c r="I13" s="337">
        <f t="shared" si="0"/>
        <v>26349.060000000027</v>
      </c>
      <c r="J13" s="338">
        <f t="shared" si="1"/>
        <v>0.15095816882984758</v>
      </c>
      <c r="K13" s="339" t="s">
        <v>172</v>
      </c>
      <c r="L13" s="340">
        <f>'Cash Flow BOP '!S13</f>
        <v>239999.97999999995</v>
      </c>
      <c r="M13" s="341">
        <f t="shared" si="2"/>
        <v>0.83706048642170738</v>
      </c>
      <c r="N13" s="342"/>
      <c r="O13" s="296"/>
      <c r="Q13" s="343">
        <f>'Cash Flow - Actual'!K13-'Cash Flow BOP '!K13</f>
        <v>1430.8199999999997</v>
      </c>
      <c r="T13" s="517">
        <f t="shared" si="3"/>
        <v>301341.75</v>
      </c>
      <c r="U13" s="517">
        <v>240000</v>
      </c>
    </row>
    <row r="14" spans="2:21">
      <c r="B14" s="130"/>
      <c r="C14" s="131" t="s">
        <v>27</v>
      </c>
      <c r="D14" s="348"/>
      <c r="E14" s="334">
        <f>'Cash Flow - Actual'!Q14</f>
        <v>80143.14</v>
      </c>
      <c r="F14" s="335"/>
      <c r="G14" s="334">
        <f>SUM('Cash Flow BOP '!D14:K14)</f>
        <v>27500</v>
      </c>
      <c r="H14" s="336"/>
      <c r="I14" s="337">
        <f t="shared" si="0"/>
        <v>52643.14</v>
      </c>
      <c r="J14" s="338">
        <f t="shared" si="1"/>
        <v>1.914296</v>
      </c>
      <c r="K14" s="339" t="s">
        <v>173</v>
      </c>
      <c r="L14" s="340">
        <f>'Cash Flow BOP '!S14</f>
        <v>35000</v>
      </c>
      <c r="M14" s="341">
        <f t="shared" si="2"/>
        <v>2.2898040000000002</v>
      </c>
      <c r="N14" s="342"/>
      <c r="O14" s="296"/>
      <c r="Q14" s="343">
        <f>'Cash Flow - Actual'!K14-'Cash Flow BOP '!K14</f>
        <v>12471</v>
      </c>
      <c r="T14" s="517">
        <f t="shared" si="3"/>
        <v>120214.70999999999</v>
      </c>
      <c r="U14" s="517">
        <v>102000</v>
      </c>
    </row>
    <row r="15" spans="2:21">
      <c r="B15" s="130"/>
      <c r="C15" s="131" t="s">
        <v>123</v>
      </c>
      <c r="D15" s="348">
        <f>26184.59+4509.12</f>
        <v>30693.71</v>
      </c>
      <c r="E15" s="334">
        <f>'Cash Flow - Actual'!Q15</f>
        <v>64697.85</v>
      </c>
      <c r="F15" s="335"/>
      <c r="G15" s="334">
        <f>SUM('Cash Flow BOP '!D15:K15)</f>
        <v>16666.64</v>
      </c>
      <c r="H15" s="336"/>
      <c r="I15" s="337">
        <f t="shared" si="0"/>
        <v>48031.21</v>
      </c>
      <c r="J15" s="338">
        <f t="shared" si="1"/>
        <v>2.8818772110035376</v>
      </c>
      <c r="K15" s="339" t="s">
        <v>174</v>
      </c>
      <c r="L15" s="340">
        <f>'Cash Flow BOP '!S15</f>
        <v>24999.960000000006</v>
      </c>
      <c r="M15" s="341">
        <f t="shared" si="2"/>
        <v>2.5879181406690241</v>
      </c>
      <c r="N15" s="342"/>
      <c r="O15" s="296"/>
      <c r="Q15" s="343">
        <f>'Cash Flow - Actual'!K15-'Cash Flow BOP '!K15</f>
        <v>-2083.33</v>
      </c>
      <c r="T15" s="517">
        <f t="shared" si="3"/>
        <v>97046.774999999994</v>
      </c>
      <c r="U15" s="517">
        <v>25000</v>
      </c>
    </row>
    <row r="16" spans="2:21" ht="15.75" thickBot="1">
      <c r="B16" s="130"/>
      <c r="C16" s="131" t="s">
        <v>124</v>
      </c>
      <c r="D16" s="348"/>
      <c r="E16" s="334">
        <f>'Cash Flow - Actual'!Q16</f>
        <v>42359.12</v>
      </c>
      <c r="F16" s="351"/>
      <c r="G16" s="334">
        <f>SUM('Cash Flow BOP '!D16:K16)</f>
        <v>0</v>
      </c>
      <c r="H16" s="352"/>
      <c r="I16" s="353">
        <f t="shared" si="0"/>
        <v>42359.12</v>
      </c>
      <c r="J16" s="338" t="e">
        <f t="shared" si="1"/>
        <v>#DIV/0!</v>
      </c>
      <c r="K16" s="339" t="s">
        <v>175</v>
      </c>
      <c r="L16" s="340">
        <f>'Cash Flow BOP '!S16</f>
        <v>0</v>
      </c>
      <c r="M16" s="341" t="e">
        <f t="shared" si="2"/>
        <v>#DIV/0!</v>
      </c>
      <c r="N16" s="342"/>
      <c r="O16" s="296"/>
      <c r="Q16" s="343">
        <f>'Cash Flow - Actual'!K16-'Cash Flow BOP '!K16</f>
        <v>1848.91</v>
      </c>
      <c r="T16" s="517">
        <f t="shared" si="3"/>
        <v>63538.680000000008</v>
      </c>
      <c r="U16" s="517">
        <v>20000</v>
      </c>
    </row>
    <row r="17" spans="2:22" ht="15.75" thickBot="1">
      <c r="B17" s="130" t="s">
        <v>34</v>
      </c>
      <c r="C17" s="131"/>
      <c r="D17" s="354">
        <f>SUM(D7:D15)</f>
        <v>9808739.040000001</v>
      </c>
      <c r="E17" s="355">
        <f>SUM(E7:E16)</f>
        <v>12353542.259999998</v>
      </c>
      <c r="F17" s="356"/>
      <c r="G17" s="355">
        <f>SUM(G7:G16)</f>
        <v>10062287.949999999</v>
      </c>
      <c r="H17" s="357"/>
      <c r="I17" s="358">
        <f t="shared" si="0"/>
        <v>2291254.3099999987</v>
      </c>
      <c r="J17" s="359">
        <f t="shared" si="1"/>
        <v>0.22770709021500413</v>
      </c>
      <c r="K17" s="360"/>
      <c r="L17" s="361">
        <f>SUM(L7:L16)</f>
        <v>14538243.939999999</v>
      </c>
      <c r="M17" s="362">
        <f t="shared" si="2"/>
        <v>0.84972726492853157</v>
      </c>
      <c r="N17" s="363"/>
      <c r="O17" s="296"/>
      <c r="T17" s="355">
        <f>SUM(T7:T16)</f>
        <v>18530313.390000001</v>
      </c>
      <c r="U17" s="355">
        <f>SUM(U7:U16)</f>
        <v>16437508.324999999</v>
      </c>
    </row>
    <row r="18" spans="2:22">
      <c r="B18" s="130"/>
      <c r="C18" s="131"/>
      <c r="D18" s="364"/>
      <c r="E18" s="139"/>
      <c r="F18" s="139"/>
      <c r="G18" s="139"/>
      <c r="H18" s="139"/>
      <c r="I18" s="139"/>
      <c r="J18" s="139"/>
      <c r="K18" s="365"/>
      <c r="L18" s="139"/>
      <c r="M18" s="139"/>
      <c r="N18" s="339"/>
      <c r="O18" s="296"/>
    </row>
    <row r="19" spans="2:22">
      <c r="B19" s="130" t="s">
        <v>126</v>
      </c>
      <c r="C19" s="131"/>
      <c r="D19" s="364"/>
      <c r="E19" s="139"/>
      <c r="F19" s="139"/>
      <c r="G19" s="366"/>
      <c r="H19" s="139"/>
      <c r="I19" s="139"/>
      <c r="J19" s="139"/>
      <c r="K19" s="365"/>
      <c r="L19" s="139"/>
      <c r="M19" s="139"/>
      <c r="N19" s="339"/>
      <c r="O19" s="296"/>
    </row>
    <row r="20" spans="2:22" ht="15.75">
      <c r="B20" s="130"/>
      <c r="C20" s="131" t="s">
        <v>36</v>
      </c>
      <c r="D20" s="302">
        <f>7185483.45+291207.79</f>
        <v>7476691.2400000002</v>
      </c>
      <c r="E20" s="367">
        <f>'Cash Flow - Actual'!Q20</f>
        <v>8613040.9000000004</v>
      </c>
      <c r="F20" s="368"/>
      <c r="G20" s="334">
        <f>SUM('Cash Flow BOP '!D20:K20)</f>
        <v>8183623.0599999996</v>
      </c>
      <c r="H20" s="369"/>
      <c r="I20" s="370">
        <f t="shared" ref="I20:I32" si="4">E20-G20</f>
        <v>429417.84000000078</v>
      </c>
      <c r="J20" s="371">
        <f t="shared" ref="J20:J32" si="5">I20/G20</f>
        <v>5.247282735918201E-2</v>
      </c>
      <c r="K20" s="339" t="s">
        <v>176</v>
      </c>
      <c r="L20" s="372">
        <f>'Cash Flow BOP '!S20</f>
        <v>12271624.849999998</v>
      </c>
      <c r="M20" s="373">
        <f t="shared" ref="M20:M31" si="6">E20/L20</f>
        <v>0.70186637916982952</v>
      </c>
      <c r="N20" s="374"/>
      <c r="O20" s="296"/>
      <c r="Q20" s="343">
        <f>'Cash Flow - Actual'!K20-'Cash Flow BOP '!K20</f>
        <v>59355.899999999907</v>
      </c>
      <c r="T20" s="517">
        <f t="shared" ref="T20:T30" si="7">E20/8*12</f>
        <v>12919561.350000001</v>
      </c>
      <c r="U20" s="517">
        <v>13925623.267999999</v>
      </c>
    </row>
    <row r="21" spans="2:22" ht="15.75" customHeight="1">
      <c r="B21" s="130"/>
      <c r="C21" s="131" t="s">
        <v>40</v>
      </c>
      <c r="D21" s="302">
        <v>72688.06</v>
      </c>
      <c r="E21" s="334">
        <f>'Cash Flow - Actual'!Q21</f>
        <v>83191.12999999999</v>
      </c>
      <c r="F21" s="375"/>
      <c r="G21" s="334">
        <f>SUM('Cash Flow BOP '!D21:K21)</f>
        <v>78000</v>
      </c>
      <c r="H21" s="169"/>
      <c r="I21" s="376">
        <f t="shared" si="4"/>
        <v>5191.1299999999901</v>
      </c>
      <c r="J21" s="377">
        <f t="shared" si="5"/>
        <v>6.655294871794859E-2</v>
      </c>
      <c r="K21" s="339"/>
      <c r="L21" s="340">
        <f>'Cash Flow BOP '!S21</f>
        <v>112000</v>
      </c>
      <c r="M21" s="378">
        <f t="shared" si="6"/>
        <v>0.74277794642857131</v>
      </c>
      <c r="N21" s="342"/>
      <c r="O21" s="296"/>
      <c r="Q21" s="343">
        <f>'Cash Flow - Actual'!K21-'Cash Flow BOP '!K21</f>
        <v>-8797.85</v>
      </c>
      <c r="T21" s="517">
        <f t="shared" si="7"/>
        <v>124786.69499999998</v>
      </c>
      <c r="U21" s="517">
        <v>114720</v>
      </c>
    </row>
    <row r="22" spans="2:22" ht="15.75" customHeight="1">
      <c r="B22" s="130"/>
      <c r="C22" s="131" t="s">
        <v>127</v>
      </c>
      <c r="D22" s="302">
        <v>164827.46</v>
      </c>
      <c r="E22" s="334">
        <f>'Cash Flow - Actual'!Q22</f>
        <v>147307.65000000002</v>
      </c>
      <c r="F22" s="375"/>
      <c r="G22" s="334">
        <f>SUM('Cash Flow BOP '!D22:K22)</f>
        <v>145658.83000000005</v>
      </c>
      <c r="H22" s="169"/>
      <c r="I22" s="132">
        <f t="shared" si="4"/>
        <v>1648.8199999999779</v>
      </c>
      <c r="J22" s="379">
        <f t="shared" si="5"/>
        <v>1.1319739421221338E-2</v>
      </c>
      <c r="K22" s="339"/>
      <c r="L22" s="340">
        <f>'Cash Flow BOP '!S22</f>
        <v>204500.43000000005</v>
      </c>
      <c r="M22" s="378">
        <f t="shared" si="6"/>
        <v>0.72032929221713615</v>
      </c>
      <c r="N22" s="342"/>
      <c r="O22" s="296"/>
      <c r="Q22" s="343">
        <f>'Cash Flow - Actual'!K22-'Cash Flow BOP '!K22</f>
        <v>3265.3199999999997</v>
      </c>
      <c r="T22" s="517">
        <f t="shared" si="7"/>
        <v>220961.47500000003</v>
      </c>
      <c r="U22" s="517">
        <v>203100</v>
      </c>
    </row>
    <row r="23" spans="2:22" ht="15.75" customHeight="1">
      <c r="B23" s="130"/>
      <c r="C23" s="131" t="s">
        <v>128</v>
      </c>
      <c r="D23" s="302">
        <v>104723.64</v>
      </c>
      <c r="E23" s="334">
        <f>'Cash Flow - Actual'!Q23</f>
        <v>132927.46</v>
      </c>
      <c r="F23" s="375"/>
      <c r="G23" s="334">
        <f>SUM('Cash Flow BOP '!D23:K23)</f>
        <v>117100</v>
      </c>
      <c r="H23" s="169"/>
      <c r="I23" s="380">
        <f t="shared" si="4"/>
        <v>15827.459999999992</v>
      </c>
      <c r="J23" s="381">
        <f t="shared" si="5"/>
        <v>0.13516191289496149</v>
      </c>
      <c r="K23" s="339" t="s">
        <v>177</v>
      </c>
      <c r="L23" s="340">
        <f>'Cash Flow BOP '!S23</f>
        <v>167650</v>
      </c>
      <c r="M23" s="378">
        <f t="shared" si="6"/>
        <v>0.79288672830301221</v>
      </c>
      <c r="N23" s="342"/>
      <c r="O23" s="296"/>
      <c r="Q23" s="343">
        <f>'Cash Flow - Actual'!K23-'Cash Flow BOP '!K23</f>
        <v>-4471.34</v>
      </c>
      <c r="T23" s="517">
        <f t="shared" si="7"/>
        <v>199391.19</v>
      </c>
      <c r="U23" s="517">
        <f>620100-U24-U29</f>
        <v>237000</v>
      </c>
    </row>
    <row r="24" spans="2:22" ht="15.75" customHeight="1">
      <c r="B24" s="130"/>
      <c r="C24" s="131" t="s">
        <v>178</v>
      </c>
      <c r="D24" s="302">
        <v>171644</v>
      </c>
      <c r="E24" s="334">
        <f>'Cash Flow - Actual'!Q24</f>
        <v>206763.75999999998</v>
      </c>
      <c r="F24" s="375"/>
      <c r="G24" s="334">
        <f>SUM('Cash Flow BOP '!D24:K24)</f>
        <v>222000</v>
      </c>
      <c r="H24" s="169"/>
      <c r="I24" s="376">
        <f t="shared" si="4"/>
        <v>-15236.24000000002</v>
      </c>
      <c r="J24" s="377">
        <f t="shared" si="5"/>
        <v>-6.8631711711711799E-2</v>
      </c>
      <c r="K24" s="339"/>
      <c r="L24" s="340">
        <f>'Cash Flow BOP '!S24</f>
        <v>312000</v>
      </c>
      <c r="M24" s="378">
        <f t="shared" si="6"/>
        <v>0.66270435897435886</v>
      </c>
      <c r="N24" s="342"/>
      <c r="O24" s="296"/>
      <c r="Q24" s="343">
        <f>'Cash Flow - Actual'!K24-'Cash Flow BOP '!K24</f>
        <v>-8249.5400000000009</v>
      </c>
      <c r="T24" s="517">
        <f t="shared" si="7"/>
        <v>310145.63999999996</v>
      </c>
      <c r="U24" s="517">
        <v>320000</v>
      </c>
    </row>
    <row r="25" spans="2:22" ht="15.75" customHeight="1">
      <c r="B25" s="130"/>
      <c r="C25" s="131" t="s">
        <v>179</v>
      </c>
      <c r="D25" s="302">
        <f>116150.21+166111.77+196285.65</f>
        <v>478547.63</v>
      </c>
      <c r="E25" s="334">
        <f>'Cash Flow - Actual'!Q25</f>
        <v>727602.72000000009</v>
      </c>
      <c r="F25" s="375"/>
      <c r="G25" s="334">
        <f>SUM('Cash Flow BOP '!D25:K25)</f>
        <v>595005.36</v>
      </c>
      <c r="H25" s="169"/>
      <c r="I25" s="344">
        <f t="shared" si="4"/>
        <v>132597.3600000001</v>
      </c>
      <c r="J25" s="345">
        <f t="shared" si="5"/>
        <v>0.22285069835337298</v>
      </c>
      <c r="K25" s="339" t="s">
        <v>180</v>
      </c>
      <c r="L25" s="340">
        <f>'Cash Flow BOP '!S25</f>
        <v>817226.36</v>
      </c>
      <c r="M25" s="378">
        <f t="shared" si="6"/>
        <v>0.89033192712971243</v>
      </c>
      <c r="N25" s="342"/>
      <c r="O25" s="296"/>
      <c r="Q25" s="343">
        <f>'Cash Flow - Actual'!K25-'Cash Flow BOP '!K25</f>
        <v>36563.920000000013</v>
      </c>
      <c r="T25" s="517">
        <f t="shared" si="7"/>
        <v>1091404.08</v>
      </c>
      <c r="U25" s="517">
        <v>806756</v>
      </c>
    </row>
    <row r="26" spans="2:22" ht="15.75" customHeight="1">
      <c r="B26" s="130"/>
      <c r="C26" s="131" t="s">
        <v>130</v>
      </c>
      <c r="D26" s="302">
        <v>60401.63</v>
      </c>
      <c r="E26" s="334">
        <f>'Cash Flow - Actual'!Q26</f>
        <v>131009.69</v>
      </c>
      <c r="F26" s="375"/>
      <c r="G26" s="334">
        <f>SUM('Cash Flow BOP '!D26:K26)</f>
        <v>41800</v>
      </c>
      <c r="H26" s="169"/>
      <c r="I26" s="337">
        <f t="shared" si="4"/>
        <v>89209.69</v>
      </c>
      <c r="J26" s="338">
        <f t="shared" si="5"/>
        <v>2.1342031100478471</v>
      </c>
      <c r="K26" s="339" t="s">
        <v>181</v>
      </c>
      <c r="L26" s="340">
        <f>'Cash Flow BOP '!S26</f>
        <v>53000</v>
      </c>
      <c r="M26" s="378">
        <f t="shared" si="6"/>
        <v>2.4718809433962265</v>
      </c>
      <c r="N26" s="342"/>
      <c r="O26" s="296"/>
      <c r="Q26" s="343">
        <f>'Cash Flow - Actual'!K26-'Cash Flow BOP '!K26</f>
        <v>6634.06</v>
      </c>
      <c r="T26" s="517">
        <f t="shared" si="7"/>
        <v>196514.535</v>
      </c>
      <c r="U26" s="517">
        <v>93000</v>
      </c>
    </row>
    <row r="27" spans="2:22" ht="15.75" customHeight="1">
      <c r="B27" s="130"/>
      <c r="C27" s="131" t="s">
        <v>182</v>
      </c>
      <c r="D27" s="302">
        <v>182589.96</v>
      </c>
      <c r="E27" s="334">
        <f>'Cash Flow - Actual'!Q27</f>
        <v>289397.59000000003</v>
      </c>
      <c r="F27" s="375"/>
      <c r="G27" s="334">
        <f>SUM('Cash Flow BOP '!D27:K27)</f>
        <v>259358.23</v>
      </c>
      <c r="H27" s="382"/>
      <c r="I27" s="337">
        <f t="shared" si="4"/>
        <v>30039.360000000015</v>
      </c>
      <c r="J27" s="338">
        <f t="shared" si="5"/>
        <v>0.11582188851304243</v>
      </c>
      <c r="K27" s="339" t="s">
        <v>183</v>
      </c>
      <c r="L27" s="340">
        <f>'Cash Flow BOP '!S27</f>
        <v>371443.23</v>
      </c>
      <c r="M27" s="383">
        <f t="shared" si="6"/>
        <v>0.77911660955565143</v>
      </c>
      <c r="N27" s="342"/>
      <c r="O27" s="296"/>
      <c r="Q27" s="343">
        <f>'Cash Flow - Actual'!K27-'Cash Flow BOP '!K27</f>
        <v>-7168.9900000000052</v>
      </c>
      <c r="T27" s="517">
        <f t="shared" si="7"/>
        <v>434096.38500000001</v>
      </c>
      <c r="U27" s="517">
        <v>457200</v>
      </c>
    </row>
    <row r="28" spans="2:22" ht="15.75" customHeight="1">
      <c r="B28" s="130"/>
      <c r="C28" s="131" t="s">
        <v>132</v>
      </c>
      <c r="E28" s="334">
        <f>'Cash Flow - Actual'!Q28</f>
        <v>21295.95</v>
      </c>
      <c r="F28" s="375"/>
      <c r="G28" s="334">
        <f>SUM('Cash Flow BOP '!D28:K28)</f>
        <v>23000</v>
      </c>
      <c r="H28" s="169"/>
      <c r="I28" s="132">
        <f t="shared" si="4"/>
        <v>-1704.0499999999993</v>
      </c>
      <c r="J28" s="379">
        <f t="shared" si="5"/>
        <v>-7.4089130434782574E-2</v>
      </c>
      <c r="K28" s="339"/>
      <c r="L28" s="340">
        <f>'Cash Flow BOP '!S28</f>
        <v>31000</v>
      </c>
      <c r="M28" s="383">
        <f t="shared" si="6"/>
        <v>0.68696612903225807</v>
      </c>
      <c r="N28" s="384"/>
      <c r="O28" s="296"/>
      <c r="Q28" s="343">
        <f>'Cash Flow - Actual'!K28-'Cash Flow BOP '!K28</f>
        <v>6259.2900000000009</v>
      </c>
      <c r="T28" s="517">
        <f t="shared" si="7"/>
        <v>31943.925000000003</v>
      </c>
      <c r="U28" s="517">
        <v>31000</v>
      </c>
    </row>
    <row r="29" spans="2:22" ht="15.75" customHeight="1">
      <c r="B29" s="130"/>
      <c r="C29" s="131" t="s">
        <v>27</v>
      </c>
      <c r="D29" s="385"/>
      <c r="E29" s="386">
        <f>'Cash Flow - Actual'!Q29</f>
        <v>86821.28</v>
      </c>
      <c r="F29" s="387"/>
      <c r="G29" s="334">
        <f>SUM('Cash Flow BOP '!D29:K29)</f>
        <v>27500</v>
      </c>
      <c r="H29" s="388"/>
      <c r="I29" s="337">
        <f t="shared" si="4"/>
        <v>59321.279999999999</v>
      </c>
      <c r="J29" s="338">
        <f t="shared" si="5"/>
        <v>2.1571374545454547</v>
      </c>
      <c r="K29" s="339" t="s">
        <v>184</v>
      </c>
      <c r="L29" s="340">
        <f>'Cash Flow BOP '!P29</f>
        <v>35000</v>
      </c>
      <c r="M29" s="383">
        <f t="shared" si="6"/>
        <v>2.4806080000000001</v>
      </c>
      <c r="N29" s="389"/>
      <c r="O29" s="296"/>
      <c r="Q29" s="343">
        <f>'Cash Flow - Actual'!K29-'Cash Flow BOP '!K29</f>
        <v>4564.57</v>
      </c>
      <c r="T29" s="517">
        <f t="shared" si="7"/>
        <v>130231.92</v>
      </c>
      <c r="U29" s="517">
        <v>63100</v>
      </c>
    </row>
    <row r="30" spans="2:22" ht="15.75" customHeight="1" thickBot="1">
      <c r="B30" s="130"/>
      <c r="C30" s="131" t="s">
        <v>133</v>
      </c>
      <c r="D30" s="348">
        <v>47459.73</v>
      </c>
      <c r="E30" s="386">
        <f>'Cash Flow - Actual'!Q30</f>
        <v>50550.51</v>
      </c>
      <c r="F30" s="390"/>
      <c r="G30" s="334">
        <f>SUM('Cash Flow BOP '!D30:K30)</f>
        <v>52636.12</v>
      </c>
      <c r="H30" s="391"/>
      <c r="I30" s="392">
        <f t="shared" si="4"/>
        <v>-2085.6100000000006</v>
      </c>
      <c r="J30" s="379">
        <f t="shared" si="5"/>
        <v>-3.9623171312779142E-2</v>
      </c>
      <c r="K30" s="339"/>
      <c r="L30" s="393">
        <f>'Cash Flow BOP '!S30</f>
        <v>162999.62</v>
      </c>
      <c r="M30" s="394">
        <f t="shared" si="6"/>
        <v>0.31012655121527277</v>
      </c>
      <c r="N30" s="395"/>
      <c r="O30" s="296"/>
      <c r="Q30" s="343">
        <f>'Cash Flow - Actual'!K30-'Cash Flow BOP '!K30</f>
        <v>5540.76</v>
      </c>
      <c r="T30" s="517">
        <f t="shared" si="7"/>
        <v>75825.764999999999</v>
      </c>
      <c r="U30" s="517">
        <v>178660</v>
      </c>
    </row>
    <row r="31" spans="2:22" ht="15.75" customHeight="1" thickBot="1">
      <c r="B31" s="130" t="s">
        <v>185</v>
      </c>
      <c r="C31" s="131"/>
      <c r="D31" s="396">
        <f t="shared" ref="D31:E31" si="8">SUM(D20:D30)</f>
        <v>8759573.3500000015</v>
      </c>
      <c r="E31" s="397">
        <f t="shared" si="8"/>
        <v>10489908.640000001</v>
      </c>
      <c r="F31" s="398"/>
      <c r="G31" s="399">
        <f>SUM(G20:G30)</f>
        <v>9745681.5999999978</v>
      </c>
      <c r="H31" s="399"/>
      <c r="I31" s="399">
        <f t="shared" si="4"/>
        <v>744227.04000000283</v>
      </c>
      <c r="J31" s="400">
        <f t="shared" si="5"/>
        <v>7.6364801411119676E-2</v>
      </c>
      <c r="K31" s="360"/>
      <c r="L31" s="401">
        <f>SUM(L20:L30)</f>
        <v>14538444.489999996</v>
      </c>
      <c r="M31" s="400">
        <f t="shared" si="6"/>
        <v>0.72152895361091018</v>
      </c>
      <c r="N31" s="402"/>
      <c r="O31" s="296"/>
      <c r="T31" s="397">
        <f t="shared" ref="T31:U31" si="9">SUM(T20:T30)</f>
        <v>15734862.960000003</v>
      </c>
      <c r="U31" s="397">
        <f t="shared" si="9"/>
        <v>16430159.267999999</v>
      </c>
    </row>
    <row r="32" spans="2:22" ht="15.75" customHeight="1" thickBot="1">
      <c r="B32" s="130"/>
      <c r="C32" s="131" t="s">
        <v>186</v>
      </c>
      <c r="D32" s="403">
        <f t="shared" ref="D32:E32" si="10">D17-D31</f>
        <v>1049165.6899999995</v>
      </c>
      <c r="E32" s="404">
        <f t="shared" si="10"/>
        <v>1863633.6199999973</v>
      </c>
      <c r="F32" s="405"/>
      <c r="G32" s="406">
        <f>G17-G31</f>
        <v>316606.35000000149</v>
      </c>
      <c r="H32" s="407"/>
      <c r="I32" s="407">
        <f t="shared" si="4"/>
        <v>1547027.2699999958</v>
      </c>
      <c r="J32" s="408">
        <f t="shared" si="5"/>
        <v>4.8862799814343223</v>
      </c>
      <c r="K32" s="409"/>
      <c r="L32" s="410">
        <f t="shared" ref="L32:L34" si="11">L17-L31</f>
        <v>-200.54999999701977</v>
      </c>
      <c r="M32" s="400"/>
      <c r="N32" s="411"/>
      <c r="O32" s="296"/>
      <c r="Q32" s="412"/>
      <c r="U32" s="517">
        <v>7349.0570000000298</v>
      </c>
      <c r="V32" t="s">
        <v>303</v>
      </c>
    </row>
    <row r="33" spans="1:19" ht="15.75" customHeight="1">
      <c r="B33" s="213"/>
      <c r="C33" s="131" t="s">
        <v>187</v>
      </c>
      <c r="D33" s="296"/>
      <c r="E33" s="413">
        <f>'Cash Flow - Actual'!Q37</f>
        <v>0</v>
      </c>
      <c r="F33" s="414"/>
      <c r="G33" s="415"/>
      <c r="H33" s="416"/>
      <c r="I33" s="416"/>
      <c r="J33" s="414"/>
      <c r="K33" s="342"/>
      <c r="L33" s="410">
        <f t="shared" si="11"/>
        <v>200.54999999701977</v>
      </c>
      <c r="M33" s="400"/>
      <c r="N33" s="411"/>
      <c r="O33" s="296"/>
      <c r="Q33" s="417" t="s">
        <v>188</v>
      </c>
      <c r="R33" s="417"/>
      <c r="S33" s="417"/>
    </row>
    <row r="34" spans="1:19" ht="15.75" customHeight="1">
      <c r="B34" s="213" t="s">
        <v>189</v>
      </c>
      <c r="C34" s="131"/>
      <c r="D34" s="418"/>
      <c r="E34" s="413">
        <f>'Cash Flow - Actual'!Q39</f>
        <v>1863633.6200000003</v>
      </c>
      <c r="F34" s="414"/>
      <c r="G34" s="415"/>
      <c r="H34" s="416"/>
      <c r="I34" s="416"/>
      <c r="J34" s="414"/>
      <c r="K34" s="419"/>
      <c r="L34" s="410">
        <f t="shared" si="11"/>
        <v>-200.54999999701977</v>
      </c>
      <c r="M34" s="420"/>
      <c r="N34" s="421"/>
      <c r="O34" s="296"/>
      <c r="Q34" s="422" t="s">
        <v>190</v>
      </c>
      <c r="R34" s="422"/>
      <c r="S34" s="422"/>
    </row>
    <row r="35" spans="1:19" ht="15.75" customHeight="1">
      <c r="B35" s="213"/>
      <c r="C35" s="131"/>
      <c r="D35" s="418"/>
      <c r="E35" s="423"/>
      <c r="F35" s="424"/>
      <c r="G35" s="425"/>
      <c r="H35" s="426"/>
      <c r="I35" s="426"/>
      <c r="J35" s="424"/>
      <c r="K35" s="419"/>
      <c r="L35" s="427"/>
      <c r="M35" s="428"/>
      <c r="N35" s="429"/>
      <c r="O35" s="296"/>
    </row>
    <row r="36" spans="1:19" ht="15.75" customHeight="1">
      <c r="B36" s="213"/>
      <c r="C36" s="131"/>
      <c r="D36" s="418"/>
      <c r="E36" s="310" t="s">
        <v>191</v>
      </c>
      <c r="F36" s="311"/>
      <c r="G36" s="312" t="s">
        <v>157</v>
      </c>
      <c r="H36" s="311"/>
      <c r="I36" s="312" t="s">
        <v>157</v>
      </c>
      <c r="J36" s="313" t="s">
        <v>157</v>
      </c>
      <c r="K36" s="419"/>
      <c r="L36" s="314" t="s">
        <v>113</v>
      </c>
      <c r="M36" s="315" t="s">
        <v>158</v>
      </c>
      <c r="N36" s="315" t="s">
        <v>159</v>
      </c>
      <c r="O36" s="296"/>
    </row>
    <row r="37" spans="1:19" ht="15.75" customHeight="1">
      <c r="B37" s="213"/>
      <c r="C37" s="131"/>
      <c r="D37" s="418"/>
      <c r="E37" s="317" t="s">
        <v>138</v>
      </c>
      <c r="F37" s="307"/>
      <c r="G37" s="318" t="s">
        <v>160</v>
      </c>
      <c r="H37" s="307"/>
      <c r="I37" s="318" t="s">
        <v>161</v>
      </c>
      <c r="J37" s="319" t="s">
        <v>162</v>
      </c>
      <c r="K37" s="419"/>
      <c r="L37" s="320" t="s">
        <v>160</v>
      </c>
      <c r="M37" s="321" t="s">
        <v>160</v>
      </c>
      <c r="N37" s="321" t="s">
        <v>163</v>
      </c>
      <c r="O37" s="296"/>
    </row>
    <row r="38" spans="1:19" ht="15.75" customHeight="1">
      <c r="B38" s="213" t="s">
        <v>192</v>
      </c>
      <c r="C38" s="131"/>
      <c r="D38" s="418"/>
      <c r="E38" s="423"/>
      <c r="F38" s="424"/>
      <c r="G38" s="425"/>
      <c r="H38" s="426"/>
      <c r="I38" s="426"/>
      <c r="J38" s="424"/>
      <c r="K38" s="419"/>
      <c r="L38" s="427"/>
      <c r="M38" s="428"/>
      <c r="N38" s="429"/>
      <c r="O38" s="296"/>
    </row>
    <row r="39" spans="1:19" ht="15.75" customHeight="1">
      <c r="B39" s="213"/>
      <c r="C39" s="131" t="s">
        <v>193</v>
      </c>
      <c r="D39" s="418"/>
      <c r="E39" s="430">
        <v>896</v>
      </c>
      <c r="F39" s="424"/>
      <c r="G39" s="425"/>
      <c r="H39" s="426"/>
      <c r="I39" s="426"/>
      <c r="J39" s="424"/>
      <c r="K39" s="419"/>
      <c r="L39" s="427"/>
      <c r="M39" s="428"/>
      <c r="N39" s="429"/>
      <c r="O39" s="296"/>
    </row>
    <row r="40" spans="1:19" ht="15.75" customHeight="1">
      <c r="B40" s="213"/>
      <c r="C40" s="131" t="s">
        <v>194</v>
      </c>
      <c r="D40" s="418"/>
      <c r="E40" s="430">
        <f>40756+49962.6</f>
        <v>90718.6</v>
      </c>
      <c r="F40" s="424"/>
      <c r="G40" s="425"/>
      <c r="H40" s="426"/>
      <c r="I40" s="426"/>
      <c r="J40" s="424"/>
      <c r="K40" s="419"/>
      <c r="L40" s="427"/>
      <c r="M40" s="428"/>
      <c r="N40" s="429"/>
      <c r="O40" s="296"/>
    </row>
    <row r="41" spans="1:19" ht="15.75" customHeight="1">
      <c r="B41" s="213"/>
      <c r="C41" s="131" t="s">
        <v>195</v>
      </c>
      <c r="D41" s="418"/>
      <c r="E41" s="430">
        <f>130348.96+2125+18095.54</f>
        <v>150569.50000000003</v>
      </c>
      <c r="F41" s="424"/>
      <c r="G41" s="425"/>
      <c r="H41" s="426"/>
      <c r="I41" s="426"/>
      <c r="J41" s="424"/>
      <c r="K41" s="419"/>
      <c r="L41" s="427"/>
      <c r="M41" s="428"/>
      <c r="N41" s="429"/>
      <c r="O41" s="296"/>
    </row>
    <row r="42" spans="1:19" ht="15.75" customHeight="1">
      <c r="B42" s="213"/>
      <c r="C42" s="131" t="s">
        <v>196</v>
      </c>
      <c r="D42" s="418"/>
      <c r="E42" s="430">
        <v>20310</v>
      </c>
      <c r="F42" s="424"/>
      <c r="G42" s="431"/>
      <c r="H42" s="426"/>
      <c r="I42" s="432"/>
      <c r="J42" s="433"/>
      <c r="K42" s="419"/>
      <c r="L42" s="434"/>
      <c r="M42" s="435"/>
      <c r="N42" s="429"/>
      <c r="O42" s="296"/>
    </row>
    <row r="43" spans="1:19" ht="15.75" customHeight="1">
      <c r="B43" s="213"/>
      <c r="C43" s="130" t="s">
        <v>197</v>
      </c>
      <c r="D43" s="418"/>
      <c r="E43" s="423">
        <f>SUM(E39:E42)</f>
        <v>262494.10000000003</v>
      </c>
      <c r="F43" s="424"/>
      <c r="G43" s="431"/>
      <c r="H43" s="426"/>
      <c r="I43" s="432"/>
      <c r="J43" s="433"/>
      <c r="K43" s="419"/>
      <c r="L43" s="434"/>
      <c r="M43" s="435"/>
      <c r="N43" s="429"/>
      <c r="O43" s="296"/>
    </row>
    <row r="44" spans="1:19" ht="15.75" customHeight="1">
      <c r="B44" s="213"/>
      <c r="C44" s="130"/>
      <c r="D44" s="418"/>
      <c r="E44" s="423"/>
      <c r="F44" s="424"/>
      <c r="G44" s="431"/>
      <c r="H44" s="426"/>
      <c r="I44" s="432"/>
      <c r="J44" s="433"/>
      <c r="K44" s="419"/>
      <c r="L44" s="434"/>
      <c r="M44" s="435"/>
      <c r="N44" s="429"/>
      <c r="O44" s="296"/>
    </row>
    <row r="45" spans="1:19" ht="15.75" customHeight="1">
      <c r="B45" s="213"/>
      <c r="C45" s="130" t="s">
        <v>198</v>
      </c>
      <c r="D45" s="418"/>
      <c r="E45" s="423">
        <f>E25+E43</f>
        <v>990096.82000000007</v>
      </c>
      <c r="F45" s="424"/>
      <c r="G45" s="436">
        <f>G25</f>
        <v>595005.36</v>
      </c>
      <c r="H45" s="426"/>
      <c r="I45" s="437">
        <f>E45-G45</f>
        <v>395091.46000000008</v>
      </c>
      <c r="J45" s="433">
        <f>I45/G45</f>
        <v>0.66401327880474903</v>
      </c>
      <c r="K45" s="419"/>
      <c r="L45" s="438">
        <f>L25</f>
        <v>817226.36</v>
      </c>
      <c r="M45" s="435">
        <f>E45/L45</f>
        <v>1.2115331424209077</v>
      </c>
      <c r="N45" s="429"/>
      <c r="O45" s="296"/>
    </row>
    <row r="46" spans="1:19" ht="15.75" customHeight="1">
      <c r="A46" s="439"/>
      <c r="B46" s="440"/>
      <c r="C46" s="296"/>
      <c r="D46" s="296"/>
      <c r="E46" s="425"/>
      <c r="F46" s="424"/>
      <c r="G46" s="425"/>
      <c r="H46" s="426"/>
      <c r="I46" s="426"/>
      <c r="J46" s="424"/>
      <c r="K46" s="296"/>
      <c r="L46" s="441"/>
      <c r="M46" s="439"/>
      <c r="N46" s="424"/>
      <c r="O46" s="296"/>
    </row>
    <row r="47" spans="1:19" ht="15.75" customHeight="1">
      <c r="A47" s="439"/>
      <c r="B47" s="130" t="s">
        <v>134</v>
      </c>
      <c r="D47" s="130"/>
      <c r="E47" s="442">
        <f>E31+E43</f>
        <v>10752402.74</v>
      </c>
      <c r="F47" s="443"/>
      <c r="G47" s="442">
        <f>G31</f>
        <v>9745681.5999999978</v>
      </c>
      <c r="H47" s="432"/>
      <c r="I47" s="437">
        <f>E47-G47</f>
        <v>1006721.1400000025</v>
      </c>
      <c r="J47" s="444">
        <f>I47/G47</f>
        <v>0.10329920279767837</v>
      </c>
      <c r="K47" s="130"/>
      <c r="L47" s="445">
        <f>L31</f>
        <v>14538444.489999996</v>
      </c>
      <c r="M47" s="446">
        <f>E47/L47</f>
        <v>0.73958412451867483</v>
      </c>
      <c r="N47" s="424"/>
      <c r="O47" s="296"/>
    </row>
    <row r="48" spans="1:19" ht="1.5" customHeight="1">
      <c r="A48" s="296"/>
      <c r="B48" s="440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</row>
    <row r="49" spans="1:17" ht="409.6" customHeight="1">
      <c r="A49" s="296"/>
      <c r="B49" s="513" t="s">
        <v>199</v>
      </c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</row>
    <row r="50" spans="1:17" ht="38.25" customHeight="1"/>
    <row r="51" spans="1:17" ht="15.75" customHeight="1"/>
    <row r="52" spans="1:17" ht="15.75" customHeight="1">
      <c r="B52" s="447"/>
    </row>
    <row r="53" spans="1:17" ht="15.75" customHeight="1"/>
    <row r="54" spans="1:17" ht="15.75" customHeight="1">
      <c r="B54" s="448"/>
    </row>
    <row r="55" spans="1:17" ht="15.75" customHeight="1"/>
    <row r="56" spans="1:17" ht="15.75" customHeight="1">
      <c r="B56" s="448"/>
    </row>
    <row r="57" spans="1:17" ht="15.75" customHeight="1"/>
    <row r="58" spans="1:17" ht="15.75" customHeight="1">
      <c r="B58" s="448"/>
    </row>
    <row r="59" spans="1:17" ht="15.75" customHeight="1"/>
    <row r="60" spans="1:17" ht="15.75" customHeight="1">
      <c r="B60" s="448"/>
    </row>
    <row r="61" spans="1:17" ht="15.75" customHeight="1"/>
    <row r="62" spans="1:17" ht="15.75" customHeight="1">
      <c r="B62" s="448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</row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9:Q49"/>
  </mergeCells>
  <pageMargins left="0.7" right="0.7" top="0.75" bottom="0.75" header="0" footer="0"/>
  <pageSetup orientation="landscape"/>
  <colBreaks count="1" manualBreakCount="1">
    <brk id="1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00"/>
  <sheetViews>
    <sheetView workbookViewId="0">
      <selection activeCell="C17" sqref="C17"/>
    </sheetView>
  </sheetViews>
  <sheetFormatPr defaultColWidth="14.42578125" defaultRowHeight="15" customHeight="1" outlineLevelCol="1"/>
  <cols>
    <col min="1" max="1" width="31.7109375" customWidth="1"/>
    <col min="2" max="2" width="15.85546875" customWidth="1"/>
    <col min="3" max="3" width="14.85546875" customWidth="1"/>
    <col min="4" max="4" width="16.42578125" customWidth="1"/>
    <col min="5" max="5" width="4.42578125" customWidth="1"/>
    <col min="6" max="6" width="8.85546875" customWidth="1" outlineLevel="1"/>
    <col min="7" max="7" width="33.5703125" customWidth="1" outlineLevel="1"/>
    <col min="8" max="8" width="10.7109375" customWidth="1" outlineLevel="1"/>
    <col min="9" max="9" width="9" customWidth="1" outlineLevel="1"/>
    <col min="10" max="10" width="11.28515625" customWidth="1" outlineLevel="1"/>
    <col min="11" max="11" width="10.42578125" customWidth="1" outlineLevel="1"/>
    <col min="12" max="12" width="12" customWidth="1" outlineLevel="1"/>
    <col min="13" max="13" width="10.7109375" customWidth="1" outlineLevel="1"/>
    <col min="14" max="14" width="11.140625" customWidth="1" outlineLevel="1"/>
    <col min="15" max="15" width="12" customWidth="1" outlineLevel="1"/>
    <col min="16" max="16" width="12.140625" customWidth="1" outlineLevel="1"/>
    <col min="17" max="17" width="11.85546875" customWidth="1" outlineLevel="1"/>
    <col min="18" max="18" width="12" customWidth="1" outlineLevel="1"/>
    <col min="19" max="19" width="11.28515625" customWidth="1" outlineLevel="1"/>
    <col min="20" max="20" width="9.7109375" customWidth="1" outlineLevel="1"/>
    <col min="21" max="21" width="8.85546875" customWidth="1"/>
  </cols>
  <sheetData>
    <row r="1" spans="1:21">
      <c r="A1" s="185" t="s">
        <v>200</v>
      </c>
      <c r="B1" s="185"/>
      <c r="C1" s="185"/>
      <c r="D1" s="216"/>
      <c r="E1" s="216"/>
      <c r="F1" s="216"/>
      <c r="G1" s="216"/>
      <c r="H1" s="216"/>
    </row>
    <row r="2" spans="1:21">
      <c r="A2" s="449">
        <f>'Cash Flow - Actual'!A3</f>
        <v>45351</v>
      </c>
      <c r="B2" s="185"/>
      <c r="C2" s="185"/>
      <c r="D2" s="216"/>
      <c r="E2" s="216"/>
      <c r="F2" s="216"/>
      <c r="G2" s="216"/>
      <c r="H2" s="216"/>
    </row>
    <row r="3" spans="1:21">
      <c r="A3" s="216"/>
      <c r="B3" s="216"/>
      <c r="C3" s="216"/>
      <c r="D3" s="216"/>
      <c r="E3" s="216"/>
      <c r="F3" s="216"/>
      <c r="G3" s="216"/>
      <c r="H3" s="450" t="s">
        <v>201</v>
      </c>
      <c r="I3" s="514" t="s">
        <v>202</v>
      </c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6"/>
    </row>
    <row r="4" spans="1:21">
      <c r="A4" s="451" t="s">
        <v>203</v>
      </c>
      <c r="B4" s="452" t="s">
        <v>204</v>
      </c>
      <c r="C4" s="453" t="s">
        <v>205</v>
      </c>
      <c r="D4" s="216"/>
      <c r="E4" s="216"/>
      <c r="F4" s="216"/>
      <c r="G4" s="216"/>
      <c r="H4" s="454">
        <v>45078</v>
      </c>
      <c r="I4" s="455">
        <v>45108</v>
      </c>
      <c r="J4" s="455">
        <v>45139</v>
      </c>
      <c r="K4" s="455">
        <v>45170</v>
      </c>
      <c r="L4" s="455">
        <v>45200</v>
      </c>
      <c r="M4" s="455">
        <v>45231</v>
      </c>
      <c r="N4" s="455">
        <v>45261</v>
      </c>
      <c r="O4" s="455">
        <v>45292</v>
      </c>
      <c r="P4" s="455">
        <v>45323</v>
      </c>
      <c r="Q4" s="455">
        <v>45352</v>
      </c>
      <c r="R4" s="455">
        <v>45383</v>
      </c>
      <c r="S4" s="455">
        <v>45413</v>
      </c>
      <c r="T4" s="455">
        <v>45444</v>
      </c>
    </row>
    <row r="5" spans="1:21">
      <c r="A5" s="216"/>
      <c r="B5" s="216"/>
      <c r="C5" s="216"/>
      <c r="D5" s="216"/>
      <c r="E5" s="216"/>
      <c r="F5" s="456" t="s">
        <v>206</v>
      </c>
      <c r="G5" s="456" t="s">
        <v>207</v>
      </c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</row>
    <row r="6" spans="1:21">
      <c r="A6" s="216" t="s">
        <v>208</v>
      </c>
      <c r="B6" s="216" t="s">
        <v>209</v>
      </c>
      <c r="C6" s="458">
        <f>SUM(P8:P20)-O12</f>
        <v>5499272.629999999</v>
      </c>
      <c r="D6" s="216"/>
      <c r="E6" s="216"/>
      <c r="F6" s="459">
        <v>1025</v>
      </c>
      <c r="G6" s="460" t="s">
        <v>210</v>
      </c>
      <c r="H6" s="280">
        <v>0</v>
      </c>
      <c r="I6" s="280">
        <v>0</v>
      </c>
      <c r="J6" s="280">
        <v>0</v>
      </c>
      <c r="K6" s="280">
        <v>0</v>
      </c>
      <c r="L6" s="280">
        <v>0</v>
      </c>
      <c r="M6" s="280">
        <v>0</v>
      </c>
      <c r="N6" s="280">
        <v>0</v>
      </c>
      <c r="O6" s="280">
        <v>0</v>
      </c>
      <c r="P6" s="280">
        <v>0</v>
      </c>
      <c r="Q6" s="280">
        <v>0</v>
      </c>
      <c r="R6" s="280">
        <v>0</v>
      </c>
      <c r="S6" s="280">
        <v>0</v>
      </c>
      <c r="T6" s="457">
        <v>0</v>
      </c>
    </row>
    <row r="7" spans="1:21">
      <c r="A7" s="216" t="s">
        <v>211</v>
      </c>
      <c r="B7" s="216" t="s">
        <v>209</v>
      </c>
      <c r="C7" s="458">
        <f>M12</f>
        <v>0</v>
      </c>
      <c r="D7" s="216"/>
      <c r="E7" s="216"/>
      <c r="F7" s="459">
        <v>1030</v>
      </c>
      <c r="G7" s="460" t="s">
        <v>211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0</v>
      </c>
      <c r="O7" s="280">
        <v>0</v>
      </c>
      <c r="P7" s="280">
        <v>0</v>
      </c>
      <c r="Q7" s="280">
        <v>0</v>
      </c>
      <c r="R7" s="280">
        <v>0</v>
      </c>
      <c r="S7" s="280">
        <v>0</v>
      </c>
      <c r="T7" s="457">
        <v>0</v>
      </c>
    </row>
    <row r="8" spans="1:21">
      <c r="A8" s="461" t="s">
        <v>212</v>
      </c>
      <c r="B8" s="216"/>
      <c r="C8" s="462">
        <f>SUM(C6:C7)</f>
        <v>5499272.629999999</v>
      </c>
      <c r="D8" s="216"/>
      <c r="E8" s="216"/>
      <c r="F8" s="459">
        <v>1005</v>
      </c>
      <c r="G8" s="463" t="s">
        <v>213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457">
        <v>0</v>
      </c>
      <c r="U8" s="457"/>
    </row>
    <row r="9" spans="1:21">
      <c r="A9" s="216" t="s">
        <v>214</v>
      </c>
      <c r="C9" s="464">
        <v>0</v>
      </c>
      <c r="D9" s="216" t="s">
        <v>215</v>
      </c>
      <c r="E9" s="216"/>
      <c r="F9" s="459">
        <v>1010</v>
      </c>
      <c r="G9" s="463" t="s">
        <v>216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457">
        <v>0</v>
      </c>
    </row>
    <row r="10" spans="1:21">
      <c r="A10" s="216" t="s">
        <v>217</v>
      </c>
      <c r="B10" s="216"/>
      <c r="C10" s="462">
        <f>C8+C9</f>
        <v>5499272.629999999</v>
      </c>
      <c r="E10" s="216"/>
      <c r="F10" s="459">
        <v>1090</v>
      </c>
      <c r="G10" s="463" t="s">
        <v>218</v>
      </c>
      <c r="H10" s="465">
        <v>0</v>
      </c>
      <c r="I10" s="280">
        <v>0</v>
      </c>
      <c r="J10" s="280">
        <v>0</v>
      </c>
      <c r="K10" s="280">
        <v>607</v>
      </c>
      <c r="L10" s="280">
        <v>1641</v>
      </c>
      <c r="M10" s="280">
        <v>1951</v>
      </c>
      <c r="N10" s="280">
        <v>120</v>
      </c>
      <c r="O10" s="280">
        <v>256</v>
      </c>
      <c r="P10" s="280">
        <v>201</v>
      </c>
      <c r="Q10" s="280"/>
      <c r="R10" s="280"/>
      <c r="S10" s="280"/>
      <c r="T10" s="457"/>
      <c r="U10" s="457"/>
    </row>
    <row r="11" spans="1:21">
      <c r="E11" s="216"/>
      <c r="F11" s="459">
        <v>1100</v>
      </c>
      <c r="G11" s="463" t="s">
        <v>219</v>
      </c>
      <c r="H11" s="465">
        <v>2260659.13</v>
      </c>
      <c r="I11" s="280">
        <v>824214.19</v>
      </c>
      <c r="J11" s="280">
        <v>1408878.13</v>
      </c>
      <c r="K11" s="280">
        <v>1598492.61</v>
      </c>
      <c r="L11" s="280">
        <v>1924876.8</v>
      </c>
      <c r="M11" s="280">
        <v>2180541.5099999998</v>
      </c>
      <c r="N11" s="280">
        <v>2561968.48</v>
      </c>
      <c r="O11" s="280">
        <v>3209437.48</v>
      </c>
      <c r="P11" s="280">
        <v>4455118.0999999996</v>
      </c>
      <c r="Q11" s="280"/>
      <c r="R11" s="280"/>
      <c r="S11" s="280"/>
      <c r="T11" s="457"/>
    </row>
    <row r="12" spans="1:21">
      <c r="E12" s="216"/>
      <c r="F12" s="459">
        <v>1105</v>
      </c>
      <c r="G12" s="463" t="s">
        <v>211</v>
      </c>
      <c r="H12" s="465"/>
      <c r="I12" s="280">
        <v>0</v>
      </c>
      <c r="J12" s="280">
        <v>0</v>
      </c>
      <c r="K12" s="280">
        <v>-140</v>
      </c>
      <c r="L12" s="280">
        <v>-915</v>
      </c>
      <c r="M12" s="280">
        <v>0</v>
      </c>
      <c r="N12" s="280">
        <v>0</v>
      </c>
      <c r="O12" s="280">
        <v>0</v>
      </c>
      <c r="P12" s="280">
        <v>0</v>
      </c>
      <c r="Q12" s="280"/>
      <c r="R12" s="280"/>
      <c r="S12" s="280"/>
      <c r="T12" s="457"/>
      <c r="U12" s="457"/>
    </row>
    <row r="13" spans="1:21">
      <c r="A13" s="216" t="s">
        <v>220</v>
      </c>
      <c r="B13" s="216" t="s">
        <v>221</v>
      </c>
      <c r="C13" s="464">
        <f>P24</f>
        <v>448397.18</v>
      </c>
      <c r="D13" s="216"/>
      <c r="E13" s="216"/>
      <c r="F13" s="459">
        <v>1111</v>
      </c>
      <c r="G13" s="463" t="s">
        <v>222</v>
      </c>
      <c r="H13" s="465"/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/>
      <c r="R13" s="280"/>
      <c r="S13" s="280"/>
      <c r="T13" s="457"/>
    </row>
    <row r="14" spans="1:21">
      <c r="A14" s="216" t="s">
        <v>220</v>
      </c>
      <c r="B14" s="216" t="s">
        <v>223</v>
      </c>
      <c r="C14" s="464">
        <f>P30</f>
        <v>550460.31000000006</v>
      </c>
      <c r="D14" s="216"/>
      <c r="E14" s="216"/>
      <c r="F14" s="459">
        <v>1112</v>
      </c>
      <c r="G14" s="463" t="s">
        <v>224</v>
      </c>
      <c r="H14" s="465">
        <v>58029.39</v>
      </c>
      <c r="I14" s="280">
        <v>58150</v>
      </c>
      <c r="J14" s="280">
        <v>55426.92</v>
      </c>
      <c r="K14" s="280">
        <v>56192.45</v>
      </c>
      <c r="L14" s="466">
        <v>53498.27</v>
      </c>
      <c r="M14" s="280">
        <v>53209.43</v>
      </c>
      <c r="N14" s="280">
        <v>55875.03</v>
      </c>
      <c r="O14" s="280">
        <v>56263.040000000001</v>
      </c>
      <c r="P14" s="280">
        <v>56380.52</v>
      </c>
      <c r="Q14" s="280"/>
      <c r="R14" s="280"/>
      <c r="S14" s="280"/>
      <c r="T14" s="457"/>
      <c r="U14" s="457"/>
    </row>
    <row r="15" spans="1:21">
      <c r="A15" s="216" t="s">
        <v>225</v>
      </c>
      <c r="B15" s="216" t="s">
        <v>226</v>
      </c>
      <c r="C15" s="464">
        <f>L23</f>
        <v>0</v>
      </c>
      <c r="D15" s="216" t="s">
        <v>227</v>
      </c>
      <c r="E15" s="216"/>
      <c r="F15" s="459">
        <v>1113</v>
      </c>
      <c r="G15" s="463" t="s">
        <v>228</v>
      </c>
      <c r="H15" s="465"/>
      <c r="I15" s="280">
        <v>0</v>
      </c>
      <c r="J15" s="465">
        <v>0</v>
      </c>
      <c r="K15" s="216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/>
      <c r="R15" s="280"/>
      <c r="S15" s="280"/>
      <c r="T15" s="457"/>
    </row>
    <row r="16" spans="1:21">
      <c r="A16" s="463" t="s">
        <v>229</v>
      </c>
      <c r="B16" s="216" t="s">
        <v>221</v>
      </c>
      <c r="C16" s="464">
        <f>M27</f>
        <v>0</v>
      </c>
      <c r="E16" s="216"/>
      <c r="F16" s="459">
        <v>1114</v>
      </c>
      <c r="G16" s="463" t="s">
        <v>230</v>
      </c>
      <c r="H16" s="465">
        <v>348761.62</v>
      </c>
      <c r="I16" s="280">
        <v>354260.88</v>
      </c>
      <c r="J16" s="466">
        <v>383484.96</v>
      </c>
      <c r="K16" s="280">
        <v>414428.26</v>
      </c>
      <c r="L16" s="280">
        <v>328628.63</v>
      </c>
      <c r="M16" s="280">
        <v>361737.16</v>
      </c>
      <c r="N16" s="280">
        <v>378548.8</v>
      </c>
      <c r="O16" s="280">
        <v>256490.87</v>
      </c>
      <c r="P16" s="280">
        <v>289034.75</v>
      </c>
      <c r="Q16" s="280"/>
      <c r="R16" s="280"/>
      <c r="S16" s="280"/>
      <c r="T16" s="457"/>
      <c r="U16" s="457"/>
    </row>
    <row r="17" spans="1:21">
      <c r="A17" s="461" t="s">
        <v>231</v>
      </c>
      <c r="B17" s="216"/>
      <c r="C17" s="462">
        <f>SUM(C13:C16)</f>
        <v>998857.49</v>
      </c>
      <c r="D17" s="216"/>
      <c r="E17" s="216"/>
      <c r="F17" s="459">
        <v>1115</v>
      </c>
      <c r="G17" s="460" t="s">
        <v>232</v>
      </c>
      <c r="H17" s="465">
        <v>32145.64</v>
      </c>
      <c r="I17" s="280">
        <v>30636.44</v>
      </c>
      <c r="J17" s="280">
        <v>30103.31</v>
      </c>
      <c r="K17" s="280">
        <v>29700.63</v>
      </c>
      <c r="L17" s="280">
        <v>29700.63</v>
      </c>
      <c r="M17" s="280">
        <v>29700.63</v>
      </c>
      <c r="N17" s="280">
        <v>29767.16</v>
      </c>
      <c r="O17" s="280">
        <v>0</v>
      </c>
      <c r="P17" s="280">
        <v>0</v>
      </c>
      <c r="Q17" s="280"/>
      <c r="R17" s="280"/>
      <c r="S17" s="280"/>
      <c r="T17" s="457"/>
    </row>
    <row r="18" spans="1:21">
      <c r="A18" s="461"/>
      <c r="B18" s="216"/>
      <c r="C18" s="218"/>
      <c r="D18" s="216"/>
      <c r="E18" s="216"/>
      <c r="F18" s="459">
        <v>1116</v>
      </c>
      <c r="G18" s="460" t="s">
        <v>233</v>
      </c>
      <c r="H18" s="465">
        <v>215661.44</v>
      </c>
      <c r="I18" s="280">
        <v>360526.98</v>
      </c>
      <c r="J18" s="280">
        <v>360526.98</v>
      </c>
      <c r="K18" s="280">
        <v>360526.98</v>
      </c>
      <c r="L18" s="280">
        <v>404261.19</v>
      </c>
      <c r="M18" s="280">
        <v>404261.19</v>
      </c>
      <c r="N18" s="280">
        <v>404145.19</v>
      </c>
      <c r="O18" s="280">
        <v>451343.88</v>
      </c>
      <c r="P18" s="280">
        <v>451343.88</v>
      </c>
      <c r="Q18" s="280"/>
      <c r="R18" s="280"/>
      <c r="S18" s="280"/>
      <c r="T18" s="457"/>
      <c r="U18" s="457"/>
    </row>
    <row r="19" spans="1:21">
      <c r="A19" s="216" t="s">
        <v>234</v>
      </c>
      <c r="B19" s="216"/>
      <c r="C19" s="464">
        <v>0</v>
      </c>
      <c r="D19" s="216"/>
      <c r="E19" s="216"/>
      <c r="F19" s="459">
        <v>1117</v>
      </c>
      <c r="G19" s="460" t="s">
        <v>235</v>
      </c>
      <c r="H19" s="465">
        <v>214196.68</v>
      </c>
      <c r="I19" s="280">
        <v>215790.68</v>
      </c>
      <c r="J19" s="280">
        <v>215974.92</v>
      </c>
      <c r="K19" s="280">
        <v>216049.11</v>
      </c>
      <c r="L19" s="280">
        <v>204138.52</v>
      </c>
      <c r="M19" s="280">
        <v>307225.68</v>
      </c>
      <c r="N19" s="280">
        <v>307956.28000000003</v>
      </c>
      <c r="O19" s="280">
        <v>206203.21</v>
      </c>
      <c r="P19" s="280">
        <v>212225.18</v>
      </c>
      <c r="Q19" s="280"/>
      <c r="R19" s="280"/>
      <c r="S19" s="280"/>
      <c r="T19" s="457"/>
    </row>
    <row r="20" spans="1:21">
      <c r="A20" s="216" t="s">
        <v>236</v>
      </c>
      <c r="B20" s="216"/>
      <c r="C20" s="462">
        <f>C17+C19</f>
        <v>998857.49</v>
      </c>
      <c r="D20" s="216"/>
      <c r="E20" s="216"/>
      <c r="F20" s="459">
        <v>1119</v>
      </c>
      <c r="G20" s="460" t="s">
        <v>27</v>
      </c>
      <c r="H20" s="465">
        <v>46492.75</v>
      </c>
      <c r="I20" s="280">
        <v>40492.75</v>
      </c>
      <c r="J20" s="280">
        <v>41182.089999999997</v>
      </c>
      <c r="K20" s="280">
        <v>52971.3</v>
      </c>
      <c r="L20" s="280">
        <v>37892.99</v>
      </c>
      <c r="M20" s="280">
        <v>39150.49</v>
      </c>
      <c r="N20" s="280">
        <v>39663.03</v>
      </c>
      <c r="O20" s="280">
        <v>28023.200000000001</v>
      </c>
      <c r="P20" s="280">
        <v>34969.199999999997</v>
      </c>
      <c r="Q20" s="280"/>
      <c r="R20" s="280"/>
      <c r="S20" s="280"/>
      <c r="T20" s="457"/>
      <c r="U20" s="457"/>
    </row>
    <row r="21" spans="1:21" ht="15.75" customHeight="1">
      <c r="E21" s="216"/>
      <c r="F21" s="459">
        <v>1054</v>
      </c>
      <c r="G21" s="463" t="s">
        <v>237</v>
      </c>
      <c r="H21" s="465"/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/>
      <c r="R21" s="280"/>
      <c r="S21" s="280"/>
      <c r="T21" s="457"/>
    </row>
    <row r="22" spans="1:21" ht="15.75" customHeight="1">
      <c r="F22" s="459">
        <v>1055</v>
      </c>
      <c r="G22" s="463" t="s">
        <v>238</v>
      </c>
      <c r="H22" s="465"/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/>
      <c r="R22" s="280"/>
      <c r="S22" s="280"/>
      <c r="T22" s="457"/>
    </row>
    <row r="23" spans="1:21" ht="15.75" customHeight="1">
      <c r="A23" s="461" t="s">
        <v>239</v>
      </c>
      <c r="B23" s="216"/>
      <c r="C23" s="462">
        <f>C8+C17</f>
        <v>6498130.1199999992</v>
      </c>
      <c r="F23" s="459">
        <v>1056</v>
      </c>
      <c r="G23" s="463" t="s">
        <v>240</v>
      </c>
      <c r="H23" s="465">
        <v>246812.43</v>
      </c>
      <c r="I23" s="280">
        <v>246812.43</v>
      </c>
      <c r="J23" s="280">
        <v>245846.43</v>
      </c>
      <c r="K23" s="280">
        <v>253677.51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/>
      <c r="R23" s="280"/>
      <c r="S23" s="280"/>
      <c r="T23" s="457"/>
    </row>
    <row r="24" spans="1:21" ht="15.75" customHeight="1">
      <c r="F24" s="459">
        <v>1057</v>
      </c>
      <c r="G24" s="463" t="s">
        <v>241</v>
      </c>
      <c r="H24" s="465">
        <v>73841.67</v>
      </c>
      <c r="I24" s="280">
        <v>74266.22</v>
      </c>
      <c r="J24" s="280">
        <v>74265.63</v>
      </c>
      <c r="K24" s="280">
        <v>74388.210000000006</v>
      </c>
      <c r="L24" s="280">
        <v>74811.44</v>
      </c>
      <c r="M24" s="280">
        <v>443848.6</v>
      </c>
      <c r="N24" s="280">
        <v>444672.33</v>
      </c>
      <c r="O24" s="280">
        <v>446548.27</v>
      </c>
      <c r="P24" s="280">
        <v>448397.18</v>
      </c>
      <c r="Q24" s="280"/>
      <c r="R24" s="280"/>
      <c r="S24" s="280"/>
      <c r="T24" s="457"/>
    </row>
    <row r="25" spans="1:21" ht="15.75" customHeight="1">
      <c r="F25" s="459">
        <v>1058</v>
      </c>
      <c r="G25" s="463" t="s">
        <v>242</v>
      </c>
      <c r="H25" s="465"/>
      <c r="I25" s="280">
        <v>0</v>
      </c>
      <c r="J25" s="280">
        <v>0</v>
      </c>
      <c r="K25" s="280"/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280"/>
      <c r="R25" s="280"/>
      <c r="S25" s="280"/>
      <c r="T25" s="457"/>
    </row>
    <row r="26" spans="1:21" ht="15.75" customHeight="1">
      <c r="A26" s="216"/>
      <c r="B26" s="302"/>
      <c r="C26" s="464"/>
      <c r="D26" s="216"/>
      <c r="F26" s="459">
        <v>1059</v>
      </c>
      <c r="G26" s="463" t="s">
        <v>243</v>
      </c>
      <c r="H26" s="465"/>
      <c r="I26" s="280">
        <v>0</v>
      </c>
      <c r="J26" s="280">
        <v>0</v>
      </c>
      <c r="K26" s="280"/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280"/>
      <c r="R26" s="280"/>
      <c r="S26" s="280"/>
      <c r="T26" s="457"/>
    </row>
    <row r="27" spans="1:21" ht="15.75" customHeight="1">
      <c r="F27" s="459">
        <v>1060</v>
      </c>
      <c r="G27" s="463" t="s">
        <v>229</v>
      </c>
      <c r="H27" s="465">
        <v>107418.4</v>
      </c>
      <c r="I27" s="280">
        <v>108384.4</v>
      </c>
      <c r="J27" s="280">
        <v>110316.4</v>
      </c>
      <c r="K27" s="280">
        <v>113403.39</v>
      </c>
      <c r="L27" s="280">
        <v>367902.87</v>
      </c>
      <c r="M27" s="467">
        <v>0</v>
      </c>
      <c r="N27" s="467">
        <v>0</v>
      </c>
      <c r="O27" s="280">
        <v>0</v>
      </c>
      <c r="P27" s="468">
        <v>0</v>
      </c>
      <c r="Q27" s="468"/>
      <c r="R27" s="468"/>
      <c r="S27" s="468"/>
      <c r="T27" s="469"/>
    </row>
    <row r="28" spans="1:21" ht="15.75" customHeight="1">
      <c r="A28" s="216"/>
      <c r="C28" s="464"/>
      <c r="D28" s="216"/>
      <c r="F28" s="459">
        <v>1061</v>
      </c>
      <c r="G28" s="463" t="s">
        <v>244</v>
      </c>
      <c r="H28" s="470"/>
      <c r="I28" s="467">
        <v>-0.4</v>
      </c>
      <c r="J28" s="467">
        <v>-0.4</v>
      </c>
      <c r="K28" s="467">
        <v>-0.4</v>
      </c>
      <c r="L28" s="280">
        <v>-0.4</v>
      </c>
      <c r="M28" s="280">
        <v>0</v>
      </c>
      <c r="N28" s="280">
        <v>0</v>
      </c>
      <c r="O28" s="280">
        <v>0</v>
      </c>
      <c r="P28" s="280">
        <v>0</v>
      </c>
      <c r="Q28" s="280"/>
      <c r="R28" s="280"/>
      <c r="S28" s="280"/>
      <c r="T28" s="457"/>
    </row>
    <row r="29" spans="1:21" ht="15.75" customHeight="1">
      <c r="F29" s="459">
        <v>1062</v>
      </c>
      <c r="G29" s="463" t="s">
        <v>245</v>
      </c>
      <c r="H29" s="471"/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280"/>
      <c r="R29" s="280"/>
      <c r="S29" s="280"/>
      <c r="T29" s="457"/>
    </row>
    <row r="30" spans="1:21" ht="15.75" customHeight="1">
      <c r="F30" s="459">
        <v>1063</v>
      </c>
      <c r="G30" s="463" t="s">
        <v>246</v>
      </c>
      <c r="H30" s="465">
        <v>517776.95</v>
      </c>
      <c r="I30" s="280">
        <v>525041.68000000005</v>
      </c>
      <c r="J30" s="280">
        <v>510133.67</v>
      </c>
      <c r="K30" s="280">
        <v>499400.75</v>
      </c>
      <c r="L30" s="280">
        <v>484687.43</v>
      </c>
      <c r="M30" s="280">
        <v>517140.59</v>
      </c>
      <c r="N30" s="280">
        <v>542709.39</v>
      </c>
      <c r="O30" s="280">
        <v>542571.24</v>
      </c>
      <c r="P30" s="280">
        <v>550460.31000000006</v>
      </c>
      <c r="Q30" s="228"/>
      <c r="R30" s="228"/>
      <c r="S30" s="228"/>
    </row>
    <row r="31" spans="1:21" ht="15.75" customHeight="1">
      <c r="F31" s="459"/>
      <c r="G31" s="463"/>
      <c r="H31" s="457"/>
      <c r="I31" s="457"/>
      <c r="J31" s="457"/>
      <c r="K31" s="457"/>
    </row>
    <row r="32" spans="1:21" ht="15.75" customHeight="1"/>
    <row r="33" spans="2:2" ht="15.75" customHeight="1">
      <c r="B33" s="184"/>
    </row>
    <row r="34" spans="2:2" ht="15.75" customHeight="1"/>
    <row r="35" spans="2:2" ht="15.75" customHeight="1"/>
    <row r="36" spans="2:2" ht="15.75" customHeight="1"/>
    <row r="37" spans="2:2" ht="15.75" customHeight="1"/>
    <row r="38" spans="2:2" ht="15.75" customHeight="1"/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3:T3"/>
  </mergeCells>
  <pageMargins left="1" right="1" top="1" bottom="1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2578125" defaultRowHeight="15" customHeight="1"/>
  <cols>
    <col min="1" max="1" width="22.140625" customWidth="1"/>
    <col min="2" max="2" width="3.42578125" customWidth="1"/>
    <col min="3" max="3" width="11.7109375" customWidth="1"/>
    <col min="4" max="4" width="11" customWidth="1"/>
    <col min="5" max="5" width="11.85546875" customWidth="1"/>
    <col min="6" max="6" width="12.5703125" customWidth="1"/>
    <col min="7" max="7" width="11.42578125" customWidth="1"/>
    <col min="8" max="8" width="11.5703125" customWidth="1"/>
    <col min="9" max="9" width="13.28515625" customWidth="1"/>
    <col min="10" max="10" width="12.28515625" customWidth="1"/>
    <col min="11" max="11" width="12.42578125" customWidth="1"/>
    <col min="12" max="12" width="11.7109375" customWidth="1"/>
    <col min="13" max="13" width="11.5703125" customWidth="1"/>
    <col min="14" max="14" width="12.5703125" customWidth="1"/>
    <col min="15" max="15" width="36.7109375" hidden="1" customWidth="1"/>
    <col min="16" max="26" width="9.140625" customWidth="1"/>
  </cols>
  <sheetData>
    <row r="1" spans="1:26" ht="18.75" customHeight="1">
      <c r="A1" s="184" t="s">
        <v>103</v>
      </c>
      <c r="B1" s="472"/>
      <c r="C1" s="472"/>
      <c r="D1" s="472"/>
      <c r="E1" s="472"/>
      <c r="F1" s="472"/>
      <c r="G1" s="472"/>
      <c r="H1" s="472"/>
      <c r="I1" s="472"/>
      <c r="J1" s="269"/>
      <c r="K1" s="457"/>
      <c r="L1" s="269"/>
      <c r="M1" s="269"/>
      <c r="N1" s="269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</row>
    <row r="2" spans="1:26" ht="18.75" customHeight="1">
      <c r="A2" s="184" t="s">
        <v>46</v>
      </c>
      <c r="B2" s="472"/>
      <c r="C2" s="472"/>
      <c r="D2" s="472"/>
      <c r="E2" s="472"/>
      <c r="F2" s="472"/>
      <c r="G2" s="472"/>
      <c r="H2" s="472"/>
      <c r="I2" s="472"/>
      <c r="J2" s="269"/>
      <c r="K2" s="457"/>
      <c r="L2" s="269"/>
      <c r="M2" s="269"/>
      <c r="N2" s="269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</row>
    <row r="3" spans="1:26" ht="18.75" customHeight="1">
      <c r="A3" s="474">
        <f>'Cash Flow - Actual'!A3</f>
        <v>45351</v>
      </c>
      <c r="B3" s="472"/>
      <c r="C3" s="472"/>
      <c r="D3" s="472"/>
      <c r="E3" s="472"/>
      <c r="F3" s="472"/>
      <c r="G3" s="472"/>
      <c r="H3" s="472"/>
      <c r="I3" s="472"/>
      <c r="J3" s="269"/>
      <c r="K3" s="457"/>
      <c r="L3" s="269"/>
      <c r="M3" s="269"/>
      <c r="N3" s="269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</row>
    <row r="4" spans="1:26" ht="18.75" customHeight="1">
      <c r="A4" s="184"/>
      <c r="B4" s="472"/>
      <c r="C4" s="472"/>
      <c r="D4" s="472"/>
      <c r="E4" s="472"/>
      <c r="F4" s="472"/>
      <c r="G4" s="472"/>
      <c r="H4" s="472"/>
      <c r="I4" s="472"/>
      <c r="J4" s="269"/>
      <c r="K4" s="457"/>
      <c r="L4" s="269"/>
      <c r="M4" s="269"/>
      <c r="N4" s="269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</row>
    <row r="5" spans="1:26" ht="18.75" customHeight="1">
      <c r="A5" s="184"/>
      <c r="B5" s="472"/>
      <c r="C5" s="472"/>
      <c r="D5" s="472"/>
      <c r="E5" s="472"/>
      <c r="F5" s="472"/>
      <c r="G5" s="472"/>
      <c r="H5" s="472"/>
      <c r="I5" s="472"/>
      <c r="J5" s="269"/>
      <c r="K5" s="457"/>
      <c r="L5" s="269"/>
      <c r="M5" s="269"/>
      <c r="N5" s="269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</row>
    <row r="6" spans="1:26" ht="31.5" customHeight="1">
      <c r="A6" s="475" t="s">
        <v>247</v>
      </c>
      <c r="B6" s="472"/>
      <c r="C6" s="476">
        <v>0</v>
      </c>
      <c r="D6" s="476">
        <f t="shared" ref="D6:N6" si="0">C35</f>
        <v>121.25</v>
      </c>
      <c r="E6" s="476">
        <f t="shared" si="0"/>
        <v>-2697.45</v>
      </c>
      <c r="F6" s="476">
        <f t="shared" si="0"/>
        <v>-3057.9599999999996</v>
      </c>
      <c r="G6" s="476">
        <f t="shared" si="0"/>
        <v>-6170.6399999999994</v>
      </c>
      <c r="H6" s="476">
        <f t="shared" si="0"/>
        <v>-13548.829999999998</v>
      </c>
      <c r="I6" s="476">
        <f t="shared" si="0"/>
        <v>-24376.809999999998</v>
      </c>
      <c r="J6" s="476">
        <f t="shared" si="0"/>
        <v>-24083.68</v>
      </c>
      <c r="K6" s="476">
        <f t="shared" si="0"/>
        <v>-23681.279999999999</v>
      </c>
      <c r="L6" s="476">
        <f t="shared" si="0"/>
        <v>-23681.279999999999</v>
      </c>
      <c r="M6" s="476">
        <f t="shared" si="0"/>
        <v>-23681.279999999999</v>
      </c>
      <c r="N6" s="476">
        <f t="shared" si="0"/>
        <v>-23681.279999999999</v>
      </c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</row>
    <row r="7" spans="1:26" ht="31.5" customHeight="1">
      <c r="A7" s="475"/>
      <c r="B7" s="269"/>
      <c r="C7" s="475" t="s">
        <v>248</v>
      </c>
      <c r="D7" s="475" t="s">
        <v>249</v>
      </c>
      <c r="E7" s="475" t="s">
        <v>250</v>
      </c>
      <c r="F7" s="475" t="s">
        <v>251</v>
      </c>
      <c r="G7" s="475" t="s">
        <v>252</v>
      </c>
      <c r="H7" s="475" t="s">
        <v>253</v>
      </c>
      <c r="I7" s="475" t="s">
        <v>254</v>
      </c>
      <c r="J7" s="477" t="s">
        <v>255</v>
      </c>
      <c r="K7" s="478" t="s">
        <v>256</v>
      </c>
      <c r="L7" s="477" t="s">
        <v>257</v>
      </c>
      <c r="M7" s="477" t="s">
        <v>258</v>
      </c>
      <c r="N7" s="477" t="s">
        <v>259</v>
      </c>
      <c r="O7" s="479" t="s">
        <v>260</v>
      </c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</row>
    <row r="8" spans="1:26" ht="18.75" customHeight="1">
      <c r="A8" s="480" t="s">
        <v>261</v>
      </c>
      <c r="B8" s="472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>
        <v>0</v>
      </c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</row>
    <row r="9" spans="1:26" ht="18.75" customHeight="1">
      <c r="A9" s="481" t="s">
        <v>262</v>
      </c>
      <c r="B9" s="472"/>
      <c r="C9" s="457">
        <v>0</v>
      </c>
      <c r="D9" s="457">
        <v>0</v>
      </c>
      <c r="E9" s="457">
        <v>0</v>
      </c>
      <c r="F9" s="457">
        <v>0</v>
      </c>
      <c r="G9" s="457">
        <v>0</v>
      </c>
      <c r="H9" s="457">
        <v>0</v>
      </c>
      <c r="I9" s="457">
        <v>0</v>
      </c>
      <c r="J9" s="457">
        <v>0</v>
      </c>
      <c r="K9" s="457">
        <v>0</v>
      </c>
      <c r="L9" s="457">
        <v>0</v>
      </c>
      <c r="M9" s="457">
        <v>0</v>
      </c>
      <c r="N9" s="457">
        <v>0</v>
      </c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</row>
    <row r="10" spans="1:26" ht="18.75" customHeight="1">
      <c r="A10" s="481" t="s">
        <v>263</v>
      </c>
      <c r="B10" s="472"/>
      <c r="C10" s="457">
        <v>0</v>
      </c>
      <c r="D10" s="457">
        <v>0</v>
      </c>
      <c r="E10" s="457">
        <v>0</v>
      </c>
      <c r="F10" s="457">
        <v>0</v>
      </c>
      <c r="G10" s="457">
        <v>102.16</v>
      </c>
      <c r="H10" s="457">
        <v>0</v>
      </c>
      <c r="I10" s="457">
        <v>0</v>
      </c>
      <c r="J10" s="457">
        <v>0</v>
      </c>
      <c r="K10" s="457">
        <v>0</v>
      </c>
      <c r="L10" s="457">
        <v>0</v>
      </c>
      <c r="M10" s="457">
        <v>0</v>
      </c>
      <c r="N10" s="457">
        <v>0</v>
      </c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</row>
    <row r="11" spans="1:26" ht="18.75" customHeight="1">
      <c r="A11" s="481" t="s">
        <v>121</v>
      </c>
      <c r="B11" s="472"/>
      <c r="C11" s="457">
        <v>520.89</v>
      </c>
      <c r="D11" s="457">
        <v>1510.96</v>
      </c>
      <c r="E11" s="457">
        <v>1100.1500000000001</v>
      </c>
      <c r="F11" s="457">
        <v>1576.82</v>
      </c>
      <c r="G11" s="457">
        <v>51.16</v>
      </c>
      <c r="H11" s="457">
        <v>2665.6</v>
      </c>
      <c r="I11" s="457">
        <v>388.01</v>
      </c>
      <c r="J11" s="457">
        <v>1971.22</v>
      </c>
      <c r="K11" s="457">
        <v>0</v>
      </c>
      <c r="L11" s="457">
        <v>0</v>
      </c>
      <c r="M11" s="457">
        <v>0</v>
      </c>
      <c r="N11" s="457">
        <v>0</v>
      </c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</row>
    <row r="12" spans="1:26" ht="18.75" customHeight="1">
      <c r="A12" s="481" t="s">
        <v>264</v>
      </c>
      <c r="B12" s="472"/>
      <c r="C12" s="457">
        <v>0</v>
      </c>
      <c r="D12" s="457">
        <v>0</v>
      </c>
      <c r="E12" s="457">
        <v>0</v>
      </c>
      <c r="F12" s="457">
        <v>0</v>
      </c>
      <c r="G12" s="457">
        <v>0</v>
      </c>
      <c r="H12" s="457">
        <v>0</v>
      </c>
      <c r="I12" s="457">
        <v>0</v>
      </c>
      <c r="J12" s="457">
        <v>0</v>
      </c>
      <c r="K12" s="457">
        <v>0</v>
      </c>
      <c r="L12" s="457">
        <v>0</v>
      </c>
      <c r="M12" s="457">
        <v>0</v>
      </c>
      <c r="N12" s="457">
        <v>0</v>
      </c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</row>
    <row r="13" spans="1:26" ht="18.75" customHeight="1">
      <c r="A13" s="480" t="s">
        <v>125</v>
      </c>
      <c r="B13" s="472"/>
      <c r="C13" s="482">
        <f t="shared" ref="C13:N13" si="1">SUM(C9:C12)</f>
        <v>520.89</v>
      </c>
      <c r="D13" s="482">
        <f t="shared" si="1"/>
        <v>1510.96</v>
      </c>
      <c r="E13" s="482">
        <f t="shared" si="1"/>
        <v>1100.1500000000001</v>
      </c>
      <c r="F13" s="482">
        <f t="shared" si="1"/>
        <v>1576.82</v>
      </c>
      <c r="G13" s="482">
        <f t="shared" si="1"/>
        <v>153.32</v>
      </c>
      <c r="H13" s="482">
        <f t="shared" si="1"/>
        <v>2665.6</v>
      </c>
      <c r="I13" s="482">
        <f t="shared" si="1"/>
        <v>388.01</v>
      </c>
      <c r="J13" s="482">
        <f t="shared" si="1"/>
        <v>1971.22</v>
      </c>
      <c r="K13" s="482">
        <f t="shared" si="1"/>
        <v>0</v>
      </c>
      <c r="L13" s="482">
        <f t="shared" si="1"/>
        <v>0</v>
      </c>
      <c r="M13" s="482">
        <f t="shared" si="1"/>
        <v>0</v>
      </c>
      <c r="N13" s="482">
        <f t="shared" si="1"/>
        <v>0</v>
      </c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</row>
    <row r="14" spans="1:26" ht="18.75" customHeight="1">
      <c r="A14" s="480"/>
      <c r="B14" s="472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</row>
    <row r="15" spans="1:26" ht="18.75" hidden="1" customHeight="1">
      <c r="A15" s="480" t="s">
        <v>265</v>
      </c>
      <c r="B15" s="472"/>
      <c r="C15" s="457">
        <v>0</v>
      </c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</row>
    <row r="16" spans="1:26" ht="18.75" customHeight="1">
      <c r="A16" s="481" t="s">
        <v>266</v>
      </c>
      <c r="B16" s="472"/>
      <c r="C16" s="457">
        <v>0</v>
      </c>
      <c r="D16" s="457">
        <v>0</v>
      </c>
      <c r="E16" s="457">
        <v>800</v>
      </c>
      <c r="F16" s="457">
        <v>0</v>
      </c>
      <c r="G16" s="457">
        <v>0</v>
      </c>
      <c r="H16" s="457">
        <v>0</v>
      </c>
      <c r="I16" s="457">
        <v>0</v>
      </c>
      <c r="J16" s="457">
        <v>325</v>
      </c>
      <c r="K16" s="457">
        <v>0</v>
      </c>
      <c r="L16" s="457">
        <v>0</v>
      </c>
      <c r="M16" s="457">
        <v>0</v>
      </c>
      <c r="N16" s="457">
        <v>0</v>
      </c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</row>
    <row r="17" spans="1:26" ht="18.75" customHeight="1">
      <c r="A17" s="481" t="s">
        <v>267</v>
      </c>
      <c r="B17" s="472"/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57">
        <v>0</v>
      </c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</row>
    <row r="18" spans="1:26" ht="18.75" customHeight="1">
      <c r="A18" s="481" t="s">
        <v>268</v>
      </c>
      <c r="B18" s="472"/>
      <c r="C18" s="457">
        <v>0</v>
      </c>
      <c r="D18" s="457">
        <v>0</v>
      </c>
      <c r="E18" s="457">
        <v>0</v>
      </c>
      <c r="F18" s="457">
        <v>0</v>
      </c>
      <c r="G18" s="457">
        <v>0</v>
      </c>
      <c r="H18" s="457">
        <v>0</v>
      </c>
      <c r="I18" s="457">
        <v>0</v>
      </c>
      <c r="J18" s="457">
        <v>0</v>
      </c>
      <c r="K18" s="457">
        <v>0</v>
      </c>
      <c r="L18" s="457">
        <v>0</v>
      </c>
      <c r="M18" s="457">
        <v>0</v>
      </c>
      <c r="N18" s="457">
        <v>0</v>
      </c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</row>
    <row r="19" spans="1:26" ht="18.75" customHeight="1">
      <c r="A19" s="481" t="s">
        <v>269</v>
      </c>
      <c r="B19" s="472"/>
      <c r="C19" s="457">
        <v>0</v>
      </c>
      <c r="D19" s="457">
        <v>0</v>
      </c>
      <c r="E19" s="457">
        <v>0</v>
      </c>
      <c r="F19" s="457">
        <v>0</v>
      </c>
      <c r="G19" s="457">
        <v>0</v>
      </c>
      <c r="H19" s="457">
        <v>0</v>
      </c>
      <c r="I19" s="457">
        <v>94.88</v>
      </c>
      <c r="J19" s="457">
        <v>0</v>
      </c>
      <c r="K19" s="457">
        <v>0</v>
      </c>
      <c r="L19" s="457">
        <v>0</v>
      </c>
      <c r="M19" s="457">
        <v>0</v>
      </c>
      <c r="N19" s="457">
        <v>0</v>
      </c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</row>
    <row r="20" spans="1:26" ht="18.75" customHeight="1">
      <c r="A20" s="481" t="s">
        <v>270</v>
      </c>
      <c r="B20" s="472"/>
      <c r="C20" s="457">
        <v>0</v>
      </c>
      <c r="D20" s="457">
        <v>0</v>
      </c>
      <c r="E20" s="457">
        <v>0</v>
      </c>
      <c r="F20" s="457">
        <v>0</v>
      </c>
      <c r="G20" s="457">
        <v>0</v>
      </c>
      <c r="H20" s="457">
        <v>0</v>
      </c>
      <c r="I20" s="457">
        <v>0</v>
      </c>
      <c r="J20" s="457">
        <v>0</v>
      </c>
      <c r="K20" s="457">
        <v>0</v>
      </c>
      <c r="L20" s="457">
        <v>0</v>
      </c>
      <c r="M20" s="457">
        <v>0</v>
      </c>
      <c r="N20" s="457">
        <v>0</v>
      </c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</row>
    <row r="21" spans="1:26" ht="18.75" customHeight="1">
      <c r="A21" s="481" t="s">
        <v>271</v>
      </c>
      <c r="B21" s="472"/>
      <c r="C21" s="457">
        <v>0</v>
      </c>
      <c r="D21" s="457">
        <v>4149.68</v>
      </c>
      <c r="E21" s="457">
        <v>660.66</v>
      </c>
      <c r="F21" s="457">
        <v>4274.59</v>
      </c>
      <c r="G21" s="457">
        <v>3110.88</v>
      </c>
      <c r="H21" s="457">
        <v>1244.68</v>
      </c>
      <c r="I21" s="457">
        <v>0</v>
      </c>
      <c r="J21" s="457">
        <v>180</v>
      </c>
      <c r="K21" s="457">
        <v>0</v>
      </c>
      <c r="L21" s="457">
        <v>0</v>
      </c>
      <c r="M21" s="457">
        <v>0</v>
      </c>
      <c r="N21" s="457">
        <v>0</v>
      </c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</row>
    <row r="22" spans="1:26" ht="18.75" customHeight="1">
      <c r="A22" s="481" t="s">
        <v>272</v>
      </c>
      <c r="B22" s="472"/>
      <c r="C22" s="457">
        <v>0</v>
      </c>
      <c r="D22" s="457">
        <v>0</v>
      </c>
      <c r="E22" s="457">
        <v>0</v>
      </c>
      <c r="F22" s="457">
        <v>0</v>
      </c>
      <c r="G22" s="457">
        <v>4350.9399999999996</v>
      </c>
      <c r="H22" s="457">
        <v>1370.2</v>
      </c>
      <c r="I22" s="457">
        <v>0</v>
      </c>
      <c r="J22" s="457">
        <v>1063.82</v>
      </c>
      <c r="K22" s="457">
        <v>0</v>
      </c>
      <c r="L22" s="457">
        <v>0</v>
      </c>
      <c r="M22" s="457">
        <v>0</v>
      </c>
      <c r="N22" s="457">
        <v>0</v>
      </c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</row>
    <row r="23" spans="1:26" ht="18.75" customHeight="1">
      <c r="A23" s="481" t="s">
        <v>273</v>
      </c>
      <c r="B23" s="472"/>
      <c r="C23" s="457">
        <v>0</v>
      </c>
      <c r="D23" s="457">
        <v>0</v>
      </c>
      <c r="E23" s="457">
        <v>0</v>
      </c>
      <c r="F23" s="457">
        <v>0</v>
      </c>
      <c r="G23" s="457">
        <v>0</v>
      </c>
      <c r="H23" s="457">
        <v>0</v>
      </c>
      <c r="I23" s="457">
        <v>0</v>
      </c>
      <c r="J23" s="457">
        <v>0</v>
      </c>
      <c r="K23" s="457">
        <v>0</v>
      </c>
      <c r="L23" s="457">
        <v>0</v>
      </c>
      <c r="M23" s="457">
        <v>0</v>
      </c>
      <c r="N23" s="457">
        <v>0</v>
      </c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</row>
    <row r="24" spans="1:26" ht="18.75" customHeight="1">
      <c r="A24" s="481" t="s">
        <v>274</v>
      </c>
      <c r="B24" s="472"/>
      <c r="C24" s="457">
        <v>0</v>
      </c>
      <c r="D24" s="457">
        <v>100</v>
      </c>
      <c r="E24" s="457">
        <v>0</v>
      </c>
      <c r="F24" s="457">
        <v>0</v>
      </c>
      <c r="G24" s="457">
        <v>69.69</v>
      </c>
      <c r="H24" s="457">
        <v>0</v>
      </c>
      <c r="I24" s="457">
        <v>0</v>
      </c>
      <c r="J24" s="457">
        <v>0</v>
      </c>
      <c r="K24" s="457">
        <v>0</v>
      </c>
      <c r="L24" s="457">
        <v>0</v>
      </c>
      <c r="M24" s="457">
        <v>0</v>
      </c>
      <c r="N24" s="457">
        <v>0</v>
      </c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</row>
    <row r="25" spans="1:26" ht="18.75" customHeight="1">
      <c r="A25" s="481" t="s">
        <v>132</v>
      </c>
      <c r="B25" s="472"/>
      <c r="C25" s="457">
        <v>0</v>
      </c>
      <c r="D25" s="457">
        <v>0</v>
      </c>
      <c r="E25" s="457">
        <v>0</v>
      </c>
      <c r="F25" s="457">
        <v>414.91</v>
      </c>
      <c r="G25" s="457">
        <v>0</v>
      </c>
      <c r="H25" s="457">
        <v>0</v>
      </c>
      <c r="I25" s="457">
        <v>0</v>
      </c>
      <c r="J25" s="457">
        <v>0</v>
      </c>
      <c r="K25" s="457">
        <v>0</v>
      </c>
      <c r="L25" s="457">
        <v>0</v>
      </c>
      <c r="M25" s="457">
        <v>0</v>
      </c>
      <c r="N25" s="457">
        <v>0</v>
      </c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</row>
    <row r="26" spans="1:26" ht="18.75" customHeight="1">
      <c r="A26" s="481" t="s">
        <v>49</v>
      </c>
      <c r="B26" s="472"/>
      <c r="C26" s="457">
        <v>0</v>
      </c>
      <c r="D26" s="457">
        <v>79.98</v>
      </c>
      <c r="E26" s="457">
        <v>0</v>
      </c>
      <c r="F26" s="457">
        <v>0</v>
      </c>
      <c r="G26" s="457">
        <v>0</v>
      </c>
      <c r="H26" s="457">
        <v>0</v>
      </c>
      <c r="I26" s="457">
        <v>0</v>
      </c>
      <c r="J26" s="457">
        <v>0</v>
      </c>
      <c r="K26" s="457">
        <v>0</v>
      </c>
      <c r="L26" s="457">
        <v>0</v>
      </c>
      <c r="M26" s="457">
        <v>0</v>
      </c>
      <c r="N26" s="457">
        <v>0</v>
      </c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</row>
    <row r="27" spans="1:26" ht="18.75" customHeight="1">
      <c r="A27" s="481" t="s">
        <v>275</v>
      </c>
      <c r="B27" s="472"/>
      <c r="C27" s="457">
        <v>0</v>
      </c>
      <c r="D27" s="457">
        <v>0</v>
      </c>
      <c r="E27" s="457">
        <v>0</v>
      </c>
      <c r="F27" s="457">
        <v>0</v>
      </c>
      <c r="G27" s="457">
        <v>0</v>
      </c>
      <c r="H27" s="457">
        <v>0</v>
      </c>
      <c r="I27" s="457">
        <v>0</v>
      </c>
      <c r="J27" s="457">
        <v>0</v>
      </c>
      <c r="K27" s="457">
        <v>0</v>
      </c>
      <c r="L27" s="457">
        <v>0</v>
      </c>
      <c r="M27" s="457">
        <v>0</v>
      </c>
      <c r="N27" s="457">
        <v>0</v>
      </c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</row>
    <row r="28" spans="1:26" ht="18.75" customHeight="1">
      <c r="A28" s="481" t="s">
        <v>276</v>
      </c>
      <c r="B28" s="472"/>
      <c r="C28" s="457">
        <v>0</v>
      </c>
      <c r="D28" s="457">
        <v>0</v>
      </c>
      <c r="E28" s="457">
        <v>0</v>
      </c>
      <c r="F28" s="457">
        <v>0</v>
      </c>
      <c r="G28" s="457">
        <v>0</v>
      </c>
      <c r="H28" s="457">
        <v>0</v>
      </c>
      <c r="I28" s="457">
        <v>0</v>
      </c>
      <c r="J28" s="457">
        <v>0</v>
      </c>
      <c r="K28" s="457">
        <v>0</v>
      </c>
      <c r="L28" s="457">
        <v>0</v>
      </c>
      <c r="M28" s="457">
        <v>0</v>
      </c>
      <c r="N28" s="457">
        <v>0</v>
      </c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</row>
    <row r="29" spans="1:26" ht="18.75" customHeight="1">
      <c r="A29" s="481" t="s">
        <v>277</v>
      </c>
      <c r="B29" s="472"/>
      <c r="C29" s="457">
        <v>399.64</v>
      </c>
      <c r="D29" s="457">
        <v>0</v>
      </c>
      <c r="E29" s="457">
        <v>0</v>
      </c>
      <c r="F29" s="457">
        <v>0</v>
      </c>
      <c r="G29" s="457">
        <v>0</v>
      </c>
      <c r="H29" s="457">
        <v>0</v>
      </c>
      <c r="I29" s="457">
        <v>0</v>
      </c>
      <c r="J29" s="457">
        <v>0</v>
      </c>
      <c r="K29" s="457">
        <v>0</v>
      </c>
      <c r="L29" s="457">
        <v>0</v>
      </c>
      <c r="M29" s="457">
        <v>0</v>
      </c>
      <c r="N29" s="457">
        <v>0</v>
      </c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</row>
    <row r="30" spans="1:26" ht="18.75" customHeight="1">
      <c r="A30" s="481" t="s">
        <v>278</v>
      </c>
      <c r="B30" s="472"/>
      <c r="C30" s="457">
        <v>0</v>
      </c>
      <c r="D30" s="457">
        <v>0</v>
      </c>
      <c r="E30" s="457">
        <v>0</v>
      </c>
      <c r="F30" s="457">
        <v>0</v>
      </c>
      <c r="G30" s="457">
        <v>0</v>
      </c>
      <c r="H30" s="457">
        <v>0</v>
      </c>
      <c r="I30" s="457">
        <v>0</v>
      </c>
      <c r="J30" s="457">
        <v>0</v>
      </c>
      <c r="K30" s="457">
        <v>0</v>
      </c>
      <c r="L30" s="457">
        <v>0</v>
      </c>
      <c r="M30" s="457">
        <v>0</v>
      </c>
      <c r="N30" s="457">
        <v>0</v>
      </c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</row>
    <row r="31" spans="1:26" ht="18.75" customHeight="1">
      <c r="A31" s="481" t="s">
        <v>279</v>
      </c>
      <c r="B31" s="472"/>
      <c r="C31" s="457">
        <v>0</v>
      </c>
      <c r="D31" s="457">
        <v>0</v>
      </c>
      <c r="E31" s="457">
        <v>0</v>
      </c>
      <c r="F31" s="457">
        <v>0</v>
      </c>
      <c r="G31" s="457">
        <v>0</v>
      </c>
      <c r="H31" s="457">
        <v>0</v>
      </c>
      <c r="I31" s="457">
        <v>0</v>
      </c>
      <c r="J31" s="457">
        <v>0</v>
      </c>
      <c r="K31" s="457">
        <v>0</v>
      </c>
      <c r="L31" s="457">
        <v>0</v>
      </c>
      <c r="M31" s="457">
        <v>0</v>
      </c>
      <c r="N31" s="457">
        <v>0</v>
      </c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</row>
    <row r="32" spans="1:26" ht="18.75" customHeight="1">
      <c r="A32" s="481" t="s">
        <v>280</v>
      </c>
      <c r="B32" s="472"/>
      <c r="C32" s="457">
        <v>0</v>
      </c>
      <c r="D32" s="457">
        <v>0</v>
      </c>
      <c r="E32" s="457">
        <v>0</v>
      </c>
      <c r="F32" s="457">
        <v>0</v>
      </c>
      <c r="G32" s="457">
        <v>0</v>
      </c>
      <c r="H32" s="457">
        <v>10878.7</v>
      </c>
      <c r="I32" s="457">
        <v>0</v>
      </c>
      <c r="J32" s="457">
        <v>0</v>
      </c>
      <c r="K32" s="457">
        <v>0</v>
      </c>
      <c r="L32" s="457">
        <v>0</v>
      </c>
      <c r="M32" s="457">
        <v>0</v>
      </c>
      <c r="N32" s="457">
        <v>0</v>
      </c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</row>
    <row r="33" spans="1:26" ht="18.75" customHeight="1">
      <c r="A33" s="480" t="s">
        <v>281</v>
      </c>
      <c r="B33" s="472"/>
      <c r="C33" s="482">
        <f t="shared" ref="C33:N33" si="2">SUM(C16:C32)</f>
        <v>399.64</v>
      </c>
      <c r="D33" s="482">
        <f t="shared" si="2"/>
        <v>4329.66</v>
      </c>
      <c r="E33" s="482">
        <f t="shared" si="2"/>
        <v>1460.6599999999999</v>
      </c>
      <c r="F33" s="482">
        <f t="shared" si="2"/>
        <v>4689.5</v>
      </c>
      <c r="G33" s="482">
        <f t="shared" si="2"/>
        <v>7531.5099999999993</v>
      </c>
      <c r="H33" s="482">
        <f t="shared" si="2"/>
        <v>13493.580000000002</v>
      </c>
      <c r="I33" s="482">
        <f t="shared" si="2"/>
        <v>94.88</v>
      </c>
      <c r="J33" s="482">
        <f t="shared" si="2"/>
        <v>1568.82</v>
      </c>
      <c r="K33" s="482">
        <f t="shared" si="2"/>
        <v>0</v>
      </c>
      <c r="L33" s="482">
        <f t="shared" si="2"/>
        <v>0</v>
      </c>
      <c r="M33" s="482">
        <f t="shared" si="2"/>
        <v>0</v>
      </c>
      <c r="N33" s="482">
        <f t="shared" si="2"/>
        <v>0</v>
      </c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</row>
    <row r="34" spans="1:26" ht="18.75" customHeight="1">
      <c r="A34" s="480"/>
      <c r="B34" s="472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</row>
    <row r="35" spans="1:26" ht="18.75" customHeight="1">
      <c r="A35" s="480" t="s">
        <v>282</v>
      </c>
      <c r="B35" s="472"/>
      <c r="C35" s="483">
        <f t="shared" ref="C35:L35" si="3">C6+C13-C33</f>
        <v>121.25</v>
      </c>
      <c r="D35" s="483">
        <f t="shared" si="3"/>
        <v>-2697.45</v>
      </c>
      <c r="E35" s="483">
        <f t="shared" si="3"/>
        <v>-3057.9599999999996</v>
      </c>
      <c r="F35" s="483">
        <f t="shared" si="3"/>
        <v>-6170.6399999999994</v>
      </c>
      <c r="G35" s="483">
        <f t="shared" si="3"/>
        <v>-13548.829999999998</v>
      </c>
      <c r="H35" s="483">
        <f t="shared" si="3"/>
        <v>-24376.809999999998</v>
      </c>
      <c r="I35" s="483">
        <f t="shared" si="3"/>
        <v>-24083.68</v>
      </c>
      <c r="J35" s="483">
        <f t="shared" si="3"/>
        <v>-23681.279999999999</v>
      </c>
      <c r="K35" s="483">
        <f t="shared" si="3"/>
        <v>-23681.279999999999</v>
      </c>
      <c r="L35" s="483">
        <f t="shared" si="3"/>
        <v>-23681.279999999999</v>
      </c>
      <c r="M35" s="483">
        <f>M6+M9+M10+M12-M19-M21-M25-M29-M24</f>
        <v>-23681.279999999999</v>
      </c>
      <c r="N35" s="483">
        <f>N6-N18-N24-N28</f>
        <v>-23681.279999999999</v>
      </c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</row>
    <row r="36" spans="1:26" ht="18.75" customHeight="1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57"/>
      <c r="L36" s="472"/>
      <c r="M36" s="472"/>
      <c r="N36" s="472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</row>
    <row r="37" spans="1:26" ht="18.75" customHeight="1">
      <c r="A37" s="472"/>
      <c r="B37" s="472"/>
      <c r="C37" s="472"/>
      <c r="D37" s="472"/>
      <c r="E37" s="472"/>
      <c r="F37" s="472"/>
      <c r="G37" s="472"/>
      <c r="H37" s="472"/>
      <c r="I37" s="472"/>
      <c r="J37" s="472"/>
      <c r="K37" s="457"/>
      <c r="L37" s="472"/>
      <c r="M37" s="472"/>
      <c r="N37" s="472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</row>
    <row r="38" spans="1:26" ht="18.75" customHeight="1">
      <c r="A38" s="472"/>
      <c r="B38" s="472"/>
      <c r="C38" s="472"/>
      <c r="D38" s="472"/>
      <c r="E38" s="472"/>
      <c r="F38" s="472"/>
      <c r="G38" s="472"/>
      <c r="H38" s="472"/>
      <c r="I38" s="472"/>
      <c r="J38" s="472"/>
      <c r="K38" s="457"/>
      <c r="L38" s="472"/>
      <c r="M38" s="472"/>
      <c r="N38" s="472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</row>
    <row r="39" spans="1:26" ht="18.75" customHeight="1">
      <c r="A39" s="472"/>
      <c r="B39" s="472"/>
      <c r="C39" s="472"/>
      <c r="D39" s="472"/>
      <c r="E39" s="472"/>
      <c r="F39" s="472"/>
      <c r="G39" s="472"/>
      <c r="H39" s="472"/>
      <c r="I39" s="472"/>
      <c r="J39" s="472"/>
      <c r="K39" s="457"/>
      <c r="L39" s="472"/>
      <c r="M39" s="472"/>
      <c r="N39" s="472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</row>
    <row r="40" spans="1:26" ht="18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57"/>
      <c r="L40" s="472"/>
      <c r="M40" s="472"/>
      <c r="N40" s="472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</row>
    <row r="41" spans="1:26" ht="18.75" customHeight="1">
      <c r="A41" s="472"/>
      <c r="B41" s="472"/>
      <c r="C41" s="472"/>
      <c r="D41" s="472"/>
      <c r="E41" s="472"/>
      <c r="F41" s="472"/>
      <c r="G41" s="472"/>
      <c r="H41" s="472"/>
      <c r="I41" s="472"/>
      <c r="J41" s="472"/>
      <c r="K41" s="457"/>
      <c r="L41" s="472"/>
      <c r="M41" s="472"/>
      <c r="N41" s="472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</row>
    <row r="42" spans="1:26" ht="18.75" customHeight="1">
      <c r="A42" s="472"/>
      <c r="B42" s="472"/>
      <c r="C42" s="472"/>
      <c r="D42" s="472"/>
      <c r="E42" s="472"/>
      <c r="F42" s="472"/>
      <c r="G42" s="472"/>
      <c r="H42" s="472"/>
      <c r="I42" s="472"/>
      <c r="J42" s="472"/>
      <c r="K42" s="457"/>
      <c r="L42" s="472"/>
      <c r="M42" s="472"/>
      <c r="N42" s="472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</row>
    <row r="43" spans="1:26" ht="18.75" customHeight="1">
      <c r="A43" s="472"/>
      <c r="B43" s="472"/>
      <c r="C43" s="472"/>
      <c r="D43" s="472"/>
      <c r="E43" s="472"/>
      <c r="F43" s="472"/>
      <c r="G43" s="472"/>
      <c r="H43" s="472"/>
      <c r="I43" s="472"/>
      <c r="J43" s="472"/>
      <c r="K43" s="457"/>
      <c r="L43" s="472"/>
      <c r="M43" s="472"/>
      <c r="N43" s="472"/>
      <c r="O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</row>
    <row r="44" spans="1:26" ht="18.75" customHeight="1">
      <c r="A44" s="472"/>
      <c r="B44" s="472"/>
      <c r="C44" s="472"/>
      <c r="D44" s="472"/>
      <c r="E44" s="472"/>
      <c r="F44" s="472"/>
      <c r="G44" s="472"/>
      <c r="H44" s="472"/>
      <c r="I44" s="472"/>
      <c r="J44" s="472"/>
      <c r="K44" s="457"/>
      <c r="L44" s="472"/>
      <c r="M44" s="472"/>
      <c r="N44" s="472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</row>
    <row r="45" spans="1:26" ht="18.75" customHeight="1">
      <c r="A45" s="472"/>
      <c r="B45" s="472"/>
      <c r="C45" s="472"/>
      <c r="D45" s="472"/>
      <c r="E45" s="472"/>
      <c r="F45" s="472"/>
      <c r="G45" s="472"/>
      <c r="H45" s="472"/>
      <c r="I45" s="472"/>
      <c r="J45" s="472"/>
      <c r="K45" s="457"/>
      <c r="L45" s="472"/>
      <c r="M45" s="472"/>
      <c r="N45" s="472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</row>
    <row r="46" spans="1:26" ht="18.75" customHeight="1">
      <c r="A46" s="472"/>
      <c r="B46" s="472"/>
      <c r="C46" s="472"/>
      <c r="D46" s="472"/>
      <c r="E46" s="472"/>
      <c r="F46" s="472"/>
      <c r="G46" s="472"/>
      <c r="H46" s="472"/>
      <c r="I46" s="472"/>
      <c r="J46" s="472"/>
      <c r="K46" s="457"/>
      <c r="L46" s="472"/>
      <c r="M46" s="472"/>
      <c r="N46" s="472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</row>
    <row r="47" spans="1:26" ht="18.75" customHeight="1">
      <c r="A47" s="472"/>
      <c r="B47" s="472"/>
      <c r="C47" s="472"/>
      <c r="D47" s="472"/>
      <c r="E47" s="472"/>
      <c r="F47" s="472"/>
      <c r="G47" s="472"/>
      <c r="H47" s="472"/>
      <c r="I47" s="472"/>
      <c r="J47" s="472"/>
      <c r="K47" s="457"/>
      <c r="L47" s="472"/>
      <c r="M47" s="472"/>
      <c r="N47" s="472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</row>
    <row r="48" spans="1:26" ht="18.75" customHeight="1">
      <c r="A48" s="472"/>
      <c r="B48" s="472"/>
      <c r="C48" s="472"/>
      <c r="D48" s="472"/>
      <c r="E48" s="472"/>
      <c r="F48" s="472"/>
      <c r="G48" s="472"/>
      <c r="H48" s="472"/>
      <c r="I48" s="472"/>
      <c r="J48" s="472"/>
      <c r="K48" s="457"/>
      <c r="L48" s="472"/>
      <c r="M48" s="472"/>
      <c r="N48" s="472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</row>
    <row r="49" spans="1:26" ht="18.75" customHeight="1">
      <c r="A49" s="472"/>
      <c r="B49" s="472"/>
      <c r="C49" s="472"/>
      <c r="D49" s="472"/>
      <c r="E49" s="472"/>
      <c r="F49" s="472"/>
      <c r="G49" s="472"/>
      <c r="H49" s="472"/>
      <c r="I49" s="472"/>
      <c r="J49" s="472"/>
      <c r="K49" s="457"/>
      <c r="L49" s="472"/>
      <c r="M49" s="472"/>
      <c r="N49" s="472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</row>
    <row r="50" spans="1:26" ht="18.75" customHeight="1">
      <c r="A50" s="472"/>
      <c r="B50" s="472"/>
      <c r="C50" s="472"/>
      <c r="D50" s="472"/>
      <c r="E50" s="472"/>
      <c r="F50" s="472"/>
      <c r="G50" s="472"/>
      <c r="H50" s="472"/>
      <c r="I50" s="472"/>
      <c r="J50" s="472"/>
      <c r="K50" s="457"/>
      <c r="L50" s="472"/>
      <c r="M50" s="472"/>
      <c r="N50" s="472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</row>
    <row r="51" spans="1:26" ht="18.75" customHeight="1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57"/>
      <c r="L51" s="472"/>
      <c r="M51" s="472"/>
      <c r="N51" s="472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</row>
    <row r="52" spans="1:26" ht="18.75" customHeight="1">
      <c r="A52" s="472"/>
      <c r="B52" s="472"/>
      <c r="C52" s="472"/>
      <c r="D52" s="472"/>
      <c r="E52" s="472"/>
      <c r="F52" s="472"/>
      <c r="G52" s="472"/>
      <c r="H52" s="472"/>
      <c r="I52" s="472"/>
      <c r="J52" s="472"/>
      <c r="K52" s="457"/>
      <c r="L52" s="472"/>
      <c r="M52" s="472"/>
      <c r="N52" s="472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</row>
    <row r="53" spans="1:26" ht="18.75" customHeight="1">
      <c r="A53" s="472"/>
      <c r="B53" s="472"/>
      <c r="C53" s="472"/>
      <c r="D53" s="472"/>
      <c r="E53" s="472"/>
      <c r="F53" s="472"/>
      <c r="G53" s="472"/>
      <c r="H53" s="472"/>
      <c r="I53" s="472"/>
      <c r="J53" s="472"/>
      <c r="K53" s="457"/>
      <c r="L53" s="472"/>
      <c r="M53" s="472"/>
      <c r="N53" s="472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</row>
    <row r="54" spans="1:26" ht="18.75" customHeight="1">
      <c r="A54" s="472"/>
      <c r="B54" s="472"/>
      <c r="C54" s="472"/>
      <c r="D54" s="472"/>
      <c r="E54" s="472"/>
      <c r="F54" s="472"/>
      <c r="G54" s="472"/>
      <c r="H54" s="472"/>
      <c r="I54" s="472"/>
      <c r="J54" s="472"/>
      <c r="K54" s="457"/>
      <c r="L54" s="472"/>
      <c r="M54" s="472"/>
      <c r="N54" s="472"/>
      <c r="O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</row>
    <row r="55" spans="1:26" ht="18.75" customHeight="1">
      <c r="A55" s="472"/>
      <c r="B55" s="472"/>
      <c r="C55" s="472"/>
      <c r="D55" s="472"/>
      <c r="E55" s="472"/>
      <c r="F55" s="472"/>
      <c r="G55" s="472"/>
      <c r="H55" s="472"/>
      <c r="I55" s="472"/>
      <c r="J55" s="472"/>
      <c r="K55" s="457"/>
      <c r="L55" s="472"/>
      <c r="M55" s="472"/>
      <c r="N55" s="472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</row>
    <row r="56" spans="1:26" ht="18.75" customHeight="1">
      <c r="A56" s="472"/>
      <c r="B56" s="472"/>
      <c r="C56" s="472"/>
      <c r="D56" s="472"/>
      <c r="E56" s="472"/>
      <c r="F56" s="472"/>
      <c r="G56" s="472"/>
      <c r="H56" s="472"/>
      <c r="I56" s="472"/>
      <c r="J56" s="472"/>
      <c r="K56" s="457"/>
      <c r="L56" s="472"/>
      <c r="M56" s="472"/>
      <c r="N56" s="472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</row>
    <row r="57" spans="1:26" ht="18.75" customHeight="1">
      <c r="A57" s="472"/>
      <c r="B57" s="472"/>
      <c r="C57" s="472"/>
      <c r="D57" s="472"/>
      <c r="E57" s="472"/>
      <c r="F57" s="472"/>
      <c r="G57" s="472"/>
      <c r="H57" s="472"/>
      <c r="I57" s="472"/>
      <c r="J57" s="472"/>
      <c r="K57" s="457"/>
      <c r="L57" s="472"/>
      <c r="M57" s="472"/>
      <c r="N57" s="472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</row>
    <row r="58" spans="1:26" ht="18.75" customHeight="1">
      <c r="A58" s="472"/>
      <c r="B58" s="472"/>
      <c r="C58" s="472"/>
      <c r="D58" s="472"/>
      <c r="E58" s="472"/>
      <c r="F58" s="472"/>
      <c r="G58" s="472"/>
      <c r="H58" s="472"/>
      <c r="I58" s="472"/>
      <c r="J58" s="472"/>
      <c r="K58" s="457"/>
      <c r="L58" s="472"/>
      <c r="M58" s="472"/>
      <c r="N58" s="472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</row>
    <row r="59" spans="1:26" ht="18.75" customHeight="1">
      <c r="A59" s="472"/>
      <c r="B59" s="472"/>
      <c r="C59" s="472"/>
      <c r="D59" s="472"/>
      <c r="E59" s="472"/>
      <c r="F59" s="472"/>
      <c r="G59" s="472"/>
      <c r="H59" s="472"/>
      <c r="I59" s="472"/>
      <c r="J59" s="472"/>
      <c r="K59" s="457"/>
      <c r="L59" s="472"/>
      <c r="M59" s="472"/>
      <c r="N59" s="472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</row>
    <row r="60" spans="1:26" ht="18.75" customHeight="1">
      <c r="A60" s="472"/>
      <c r="B60" s="472"/>
      <c r="C60" s="472"/>
      <c r="D60" s="472"/>
      <c r="E60" s="472"/>
      <c r="F60" s="472"/>
      <c r="G60" s="472"/>
      <c r="H60" s="472"/>
      <c r="I60" s="472"/>
      <c r="J60" s="472"/>
      <c r="K60" s="457"/>
      <c r="L60" s="472"/>
      <c r="M60" s="472"/>
      <c r="N60" s="472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</row>
    <row r="61" spans="1:26" ht="18.75" customHeight="1">
      <c r="A61" s="472"/>
      <c r="B61" s="472"/>
      <c r="C61" s="472"/>
      <c r="D61" s="472"/>
      <c r="E61" s="472"/>
      <c r="F61" s="472"/>
      <c r="G61" s="472"/>
      <c r="H61" s="472"/>
      <c r="I61" s="472"/>
      <c r="J61" s="472"/>
      <c r="K61" s="457"/>
      <c r="L61" s="472"/>
      <c r="M61" s="472"/>
      <c r="N61" s="472"/>
      <c r="O61" s="473"/>
      <c r="P61" s="473"/>
      <c r="Q61" s="473"/>
      <c r="R61" s="473"/>
      <c r="S61" s="473"/>
      <c r="T61" s="473"/>
      <c r="U61" s="473"/>
      <c r="V61" s="473"/>
      <c r="W61" s="473"/>
      <c r="X61" s="473"/>
      <c r="Y61" s="473"/>
      <c r="Z61" s="473"/>
    </row>
    <row r="62" spans="1:26" ht="18.75" customHeight="1">
      <c r="A62" s="472"/>
      <c r="B62" s="472"/>
      <c r="C62" s="472"/>
      <c r="D62" s="472"/>
      <c r="E62" s="472"/>
      <c r="F62" s="472"/>
      <c r="G62" s="472"/>
      <c r="H62" s="472"/>
      <c r="I62" s="472"/>
      <c r="J62" s="472"/>
      <c r="K62" s="457"/>
      <c r="L62" s="472"/>
      <c r="M62" s="472"/>
      <c r="N62" s="472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</row>
    <row r="63" spans="1:26" ht="18.75" customHeight="1">
      <c r="A63" s="472"/>
      <c r="B63" s="472"/>
      <c r="C63" s="472"/>
      <c r="D63" s="472"/>
      <c r="E63" s="472"/>
      <c r="F63" s="472"/>
      <c r="G63" s="472"/>
      <c r="H63" s="472"/>
      <c r="I63" s="472"/>
      <c r="J63" s="472"/>
      <c r="K63" s="457"/>
      <c r="L63" s="472"/>
      <c r="M63" s="472"/>
      <c r="N63" s="472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</row>
    <row r="64" spans="1:26" ht="18.75" customHeight="1">
      <c r="A64" s="472"/>
      <c r="B64" s="472"/>
      <c r="C64" s="472"/>
      <c r="D64" s="472"/>
      <c r="E64" s="472"/>
      <c r="F64" s="472"/>
      <c r="G64" s="472"/>
      <c r="H64" s="472"/>
      <c r="I64" s="472"/>
      <c r="J64" s="472"/>
      <c r="K64" s="457"/>
      <c r="L64" s="472"/>
      <c r="M64" s="472"/>
      <c r="N64" s="472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</row>
    <row r="65" spans="1:26" ht="18.75" customHeight="1">
      <c r="A65" s="472"/>
      <c r="B65" s="472"/>
      <c r="C65" s="472"/>
      <c r="D65" s="472"/>
      <c r="E65" s="472"/>
      <c r="F65" s="472"/>
      <c r="G65" s="472"/>
      <c r="H65" s="472"/>
      <c r="I65" s="472"/>
      <c r="J65" s="472"/>
      <c r="K65" s="457"/>
      <c r="L65" s="472"/>
      <c r="M65" s="472"/>
      <c r="N65" s="472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</row>
    <row r="66" spans="1:26" ht="18.75" customHeight="1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57"/>
      <c r="L66" s="472"/>
      <c r="M66" s="472"/>
      <c r="N66" s="472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</row>
    <row r="67" spans="1:26" ht="18.75" customHeight="1">
      <c r="A67" s="472"/>
      <c r="B67" s="472"/>
      <c r="C67" s="472"/>
      <c r="D67" s="472"/>
      <c r="E67" s="472"/>
      <c r="F67" s="472"/>
      <c r="G67" s="472"/>
      <c r="H67" s="472"/>
      <c r="I67" s="472"/>
      <c r="J67" s="472"/>
      <c r="K67" s="457"/>
      <c r="L67" s="472"/>
      <c r="M67" s="472"/>
      <c r="N67" s="472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</row>
    <row r="68" spans="1:26" ht="18.75" customHeight="1">
      <c r="A68" s="472"/>
      <c r="B68" s="472"/>
      <c r="C68" s="472"/>
      <c r="D68" s="472"/>
      <c r="E68" s="472"/>
      <c r="F68" s="472"/>
      <c r="G68" s="472"/>
      <c r="H68" s="472"/>
      <c r="I68" s="472"/>
      <c r="J68" s="472"/>
      <c r="K68" s="457"/>
      <c r="L68" s="472"/>
      <c r="M68" s="472"/>
      <c r="N68" s="472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</row>
    <row r="69" spans="1:26" ht="18.75" customHeight="1">
      <c r="A69" s="472"/>
      <c r="B69" s="472"/>
      <c r="C69" s="472"/>
      <c r="D69" s="472"/>
      <c r="E69" s="472"/>
      <c r="F69" s="472"/>
      <c r="G69" s="472"/>
      <c r="H69" s="472"/>
      <c r="I69" s="472"/>
      <c r="J69" s="472"/>
      <c r="K69" s="457"/>
      <c r="L69" s="472"/>
      <c r="M69" s="472"/>
      <c r="N69" s="472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</row>
    <row r="70" spans="1:26" ht="18.75" customHeight="1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57"/>
      <c r="L70" s="472"/>
      <c r="M70" s="472"/>
      <c r="N70" s="472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</row>
    <row r="71" spans="1:26" ht="18.75" customHeight="1">
      <c r="A71" s="472"/>
      <c r="B71" s="472"/>
      <c r="C71" s="472"/>
      <c r="D71" s="472"/>
      <c r="E71" s="472"/>
      <c r="F71" s="472"/>
      <c r="G71" s="472"/>
      <c r="H71" s="472"/>
      <c r="I71" s="472"/>
      <c r="J71" s="472"/>
      <c r="K71" s="457"/>
      <c r="L71" s="472"/>
      <c r="M71" s="472"/>
      <c r="N71" s="472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</row>
    <row r="72" spans="1:26" ht="18.75" customHeight="1">
      <c r="A72" s="472"/>
      <c r="B72" s="472"/>
      <c r="C72" s="472"/>
      <c r="D72" s="472"/>
      <c r="E72" s="472"/>
      <c r="F72" s="472"/>
      <c r="G72" s="472"/>
      <c r="H72" s="472"/>
      <c r="I72" s="472"/>
      <c r="J72" s="472"/>
      <c r="K72" s="457"/>
      <c r="L72" s="472"/>
      <c r="M72" s="472"/>
      <c r="N72" s="472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</row>
    <row r="73" spans="1:26" ht="18.75" customHeight="1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57"/>
      <c r="L73" s="472"/>
      <c r="M73" s="472"/>
      <c r="N73" s="472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</row>
    <row r="74" spans="1:26" ht="18.75" customHeight="1">
      <c r="A74" s="472"/>
      <c r="B74" s="472"/>
      <c r="C74" s="472"/>
      <c r="D74" s="472"/>
      <c r="E74" s="472"/>
      <c r="F74" s="472"/>
      <c r="G74" s="472"/>
      <c r="H74" s="472"/>
      <c r="I74" s="472"/>
      <c r="J74" s="472"/>
      <c r="K74" s="457"/>
      <c r="L74" s="472"/>
      <c r="M74" s="472"/>
      <c r="N74" s="472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</row>
    <row r="75" spans="1:26" ht="18.75" customHeight="1">
      <c r="A75" s="472"/>
      <c r="B75" s="472"/>
      <c r="C75" s="472"/>
      <c r="D75" s="472"/>
      <c r="E75" s="472"/>
      <c r="F75" s="472"/>
      <c r="G75" s="472"/>
      <c r="H75" s="472"/>
      <c r="I75" s="472"/>
      <c r="J75" s="472"/>
      <c r="K75" s="457"/>
      <c r="L75" s="472"/>
      <c r="M75" s="472"/>
      <c r="N75" s="472"/>
      <c r="O75" s="473"/>
      <c r="P75" s="473"/>
      <c r="Q75" s="473"/>
      <c r="R75" s="473"/>
      <c r="S75" s="473"/>
      <c r="T75" s="473"/>
      <c r="U75" s="473"/>
      <c r="V75" s="473"/>
      <c r="W75" s="473"/>
      <c r="X75" s="473"/>
      <c r="Y75" s="473"/>
      <c r="Z75" s="473"/>
    </row>
    <row r="76" spans="1:26" ht="18.75" customHeight="1">
      <c r="A76" s="472"/>
      <c r="B76" s="472"/>
      <c r="C76" s="472"/>
      <c r="D76" s="472"/>
      <c r="E76" s="472"/>
      <c r="F76" s="472"/>
      <c r="G76" s="472"/>
      <c r="H76" s="472"/>
      <c r="I76" s="472"/>
      <c r="J76" s="472"/>
      <c r="K76" s="457"/>
      <c r="L76" s="472"/>
      <c r="M76" s="472"/>
      <c r="N76" s="472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</row>
    <row r="77" spans="1:26" ht="18.75" customHeight="1">
      <c r="A77" s="472"/>
      <c r="B77" s="472"/>
      <c r="C77" s="472"/>
      <c r="D77" s="472"/>
      <c r="E77" s="472"/>
      <c r="F77" s="472"/>
      <c r="G77" s="472"/>
      <c r="H77" s="472"/>
      <c r="I77" s="472"/>
      <c r="J77" s="472"/>
      <c r="K77" s="457"/>
      <c r="L77" s="472"/>
      <c r="M77" s="472"/>
      <c r="N77" s="472"/>
      <c r="O77" s="473"/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</row>
    <row r="78" spans="1:26" ht="18.75" customHeight="1">
      <c r="A78" s="472"/>
      <c r="B78" s="472"/>
      <c r="C78" s="472"/>
      <c r="D78" s="472"/>
      <c r="E78" s="472"/>
      <c r="F78" s="472"/>
      <c r="G78" s="472"/>
      <c r="H78" s="472"/>
      <c r="I78" s="472"/>
      <c r="J78" s="472"/>
      <c r="K78" s="457"/>
      <c r="L78" s="472"/>
      <c r="M78" s="472"/>
      <c r="N78" s="472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</row>
    <row r="79" spans="1:26" ht="18.75" customHeight="1">
      <c r="A79" s="472"/>
      <c r="B79" s="472"/>
      <c r="C79" s="472"/>
      <c r="D79" s="472"/>
      <c r="E79" s="472"/>
      <c r="F79" s="472"/>
      <c r="G79" s="472"/>
      <c r="H79" s="472"/>
      <c r="I79" s="472"/>
      <c r="J79" s="472"/>
      <c r="K79" s="457"/>
      <c r="L79" s="472"/>
      <c r="M79" s="472"/>
      <c r="N79" s="472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</row>
    <row r="80" spans="1:26" ht="18.75" customHeight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57"/>
      <c r="L80" s="472"/>
      <c r="M80" s="472"/>
      <c r="N80" s="472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</row>
    <row r="81" spans="1:26" ht="18.75" customHeight="1">
      <c r="A81" s="472"/>
      <c r="B81" s="472"/>
      <c r="C81" s="472"/>
      <c r="D81" s="472"/>
      <c r="E81" s="472"/>
      <c r="F81" s="472"/>
      <c r="G81" s="472"/>
      <c r="H81" s="472"/>
      <c r="I81" s="472"/>
      <c r="J81" s="472"/>
      <c r="K81" s="457"/>
      <c r="L81" s="472"/>
      <c r="M81" s="472"/>
      <c r="N81" s="472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</row>
    <row r="82" spans="1:26" ht="18.75" customHeight="1">
      <c r="A82" s="472"/>
      <c r="B82" s="472"/>
      <c r="C82" s="472"/>
      <c r="D82" s="472"/>
      <c r="E82" s="472"/>
      <c r="F82" s="472"/>
      <c r="G82" s="472"/>
      <c r="H82" s="472"/>
      <c r="I82" s="472"/>
      <c r="J82" s="472"/>
      <c r="K82" s="457"/>
      <c r="L82" s="472"/>
      <c r="M82" s="472"/>
      <c r="N82" s="472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</row>
    <row r="83" spans="1:26" ht="18.75" customHeight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  <c r="K83" s="457"/>
      <c r="L83" s="472"/>
      <c r="M83" s="472"/>
      <c r="N83" s="472"/>
      <c r="O83" s="473"/>
      <c r="P83" s="473"/>
      <c r="Q83" s="473"/>
      <c r="R83" s="473"/>
      <c r="S83" s="473"/>
      <c r="T83" s="473"/>
      <c r="U83" s="473"/>
      <c r="V83" s="473"/>
      <c r="W83" s="473"/>
      <c r="X83" s="473"/>
      <c r="Y83" s="473"/>
      <c r="Z83" s="473"/>
    </row>
    <row r="84" spans="1:26" ht="18.75" customHeight="1">
      <c r="A84" s="472"/>
      <c r="B84" s="472"/>
      <c r="C84" s="472"/>
      <c r="D84" s="472"/>
      <c r="E84" s="472"/>
      <c r="F84" s="472"/>
      <c r="G84" s="472"/>
      <c r="H84" s="472"/>
      <c r="I84" s="472"/>
      <c r="J84" s="472"/>
      <c r="K84" s="457"/>
      <c r="L84" s="472"/>
      <c r="M84" s="472"/>
      <c r="N84" s="472"/>
      <c r="O84" s="473"/>
      <c r="P84" s="473"/>
      <c r="Q84" s="473"/>
      <c r="R84" s="473"/>
      <c r="S84" s="473"/>
      <c r="T84" s="473"/>
      <c r="U84" s="473"/>
      <c r="V84" s="473"/>
      <c r="W84" s="473"/>
      <c r="X84" s="473"/>
      <c r="Y84" s="473"/>
      <c r="Z84" s="473"/>
    </row>
    <row r="85" spans="1:26" ht="18.7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57"/>
      <c r="L85" s="472"/>
      <c r="M85" s="472"/>
      <c r="N85" s="472"/>
      <c r="O85" s="473"/>
      <c r="P85" s="473"/>
      <c r="Q85" s="473"/>
      <c r="R85" s="473"/>
      <c r="S85" s="473"/>
      <c r="T85" s="473"/>
      <c r="U85" s="473"/>
      <c r="V85" s="473"/>
      <c r="W85" s="473"/>
      <c r="X85" s="473"/>
      <c r="Y85" s="473"/>
      <c r="Z85" s="473"/>
    </row>
    <row r="86" spans="1:26" ht="18.7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  <c r="K86" s="457"/>
      <c r="L86" s="472"/>
      <c r="M86" s="472"/>
      <c r="N86" s="472"/>
      <c r="O86" s="473"/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</row>
    <row r="87" spans="1:26" ht="18.7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57"/>
      <c r="L87" s="472"/>
      <c r="M87" s="472"/>
      <c r="N87" s="472"/>
      <c r="O87" s="473"/>
      <c r="P87" s="473"/>
      <c r="Q87" s="473"/>
      <c r="R87" s="473"/>
      <c r="S87" s="473"/>
      <c r="T87" s="473"/>
      <c r="U87" s="473"/>
      <c r="V87" s="473"/>
      <c r="W87" s="473"/>
      <c r="X87" s="473"/>
      <c r="Y87" s="473"/>
      <c r="Z87" s="473"/>
    </row>
    <row r="88" spans="1:26" ht="18.7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57"/>
      <c r="L88" s="472"/>
      <c r="M88" s="472"/>
      <c r="N88" s="472"/>
      <c r="O88" s="473"/>
      <c r="P88" s="473"/>
      <c r="Q88" s="473"/>
      <c r="R88" s="473"/>
      <c r="S88" s="473"/>
      <c r="T88" s="473"/>
      <c r="U88" s="473"/>
      <c r="V88" s="473"/>
      <c r="W88" s="473"/>
      <c r="X88" s="473"/>
      <c r="Y88" s="473"/>
      <c r="Z88" s="473"/>
    </row>
    <row r="89" spans="1:26" ht="18.75" customHeight="1">
      <c r="A89" s="472"/>
      <c r="B89" s="472"/>
      <c r="C89" s="472"/>
      <c r="D89" s="472"/>
      <c r="E89" s="472"/>
      <c r="F89" s="472"/>
      <c r="G89" s="472"/>
      <c r="H89" s="472"/>
      <c r="I89" s="472"/>
      <c r="J89" s="472"/>
      <c r="K89" s="457"/>
      <c r="L89" s="472"/>
      <c r="M89" s="472"/>
      <c r="N89" s="472"/>
      <c r="O89" s="473"/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473"/>
    </row>
    <row r="90" spans="1:26" ht="18.75" customHeight="1">
      <c r="A90" s="472"/>
      <c r="B90" s="472"/>
      <c r="C90" s="472"/>
      <c r="D90" s="472"/>
      <c r="E90" s="472"/>
      <c r="F90" s="472"/>
      <c r="G90" s="472"/>
      <c r="H90" s="472"/>
      <c r="I90" s="472"/>
      <c r="J90" s="472"/>
      <c r="K90" s="457"/>
      <c r="L90" s="472"/>
      <c r="M90" s="472"/>
      <c r="N90" s="472"/>
      <c r="O90" s="473"/>
      <c r="P90" s="473"/>
      <c r="Q90" s="473"/>
      <c r="R90" s="473"/>
      <c r="S90" s="473"/>
      <c r="T90" s="473"/>
      <c r="U90" s="473"/>
      <c r="V90" s="473"/>
      <c r="W90" s="473"/>
      <c r="X90" s="473"/>
      <c r="Y90" s="473"/>
      <c r="Z90" s="473"/>
    </row>
    <row r="91" spans="1:26" ht="18.75" customHeight="1">
      <c r="A91" s="472"/>
      <c r="B91" s="472"/>
      <c r="C91" s="472"/>
      <c r="D91" s="472"/>
      <c r="E91" s="472"/>
      <c r="F91" s="472"/>
      <c r="G91" s="472"/>
      <c r="H91" s="472"/>
      <c r="I91" s="472"/>
      <c r="J91" s="472"/>
      <c r="K91" s="457"/>
      <c r="L91" s="472"/>
      <c r="M91" s="472"/>
      <c r="N91" s="472"/>
      <c r="O91" s="473"/>
      <c r="P91" s="473"/>
      <c r="Q91" s="473"/>
      <c r="R91" s="473"/>
      <c r="S91" s="473"/>
      <c r="T91" s="473"/>
      <c r="U91" s="473"/>
      <c r="V91" s="473"/>
      <c r="W91" s="473"/>
      <c r="X91" s="473"/>
      <c r="Y91" s="473"/>
      <c r="Z91" s="473"/>
    </row>
    <row r="92" spans="1:26" ht="18.75" customHeight="1">
      <c r="A92" s="472"/>
      <c r="B92" s="472"/>
      <c r="C92" s="472"/>
      <c r="D92" s="472"/>
      <c r="E92" s="472"/>
      <c r="F92" s="472"/>
      <c r="G92" s="472"/>
      <c r="H92" s="472"/>
      <c r="I92" s="472"/>
      <c r="J92" s="472"/>
      <c r="K92" s="457"/>
      <c r="L92" s="472"/>
      <c r="M92" s="472"/>
      <c r="N92" s="472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</row>
    <row r="93" spans="1:26" ht="18.75" customHeight="1">
      <c r="A93" s="472"/>
      <c r="B93" s="472"/>
      <c r="C93" s="472"/>
      <c r="D93" s="472"/>
      <c r="E93" s="472"/>
      <c r="F93" s="472"/>
      <c r="G93" s="472"/>
      <c r="H93" s="472"/>
      <c r="I93" s="472"/>
      <c r="J93" s="472"/>
      <c r="K93" s="457"/>
      <c r="L93" s="472"/>
      <c r="M93" s="472"/>
      <c r="N93" s="472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</row>
    <row r="94" spans="1:26" ht="18.75" customHeight="1">
      <c r="A94" s="472"/>
      <c r="B94" s="472"/>
      <c r="C94" s="472"/>
      <c r="D94" s="472"/>
      <c r="E94" s="472"/>
      <c r="F94" s="472"/>
      <c r="G94" s="472"/>
      <c r="H94" s="472"/>
      <c r="I94" s="472"/>
      <c r="J94" s="472"/>
      <c r="K94" s="457"/>
      <c r="L94" s="472"/>
      <c r="M94" s="472"/>
      <c r="N94" s="472"/>
      <c r="O94" s="473"/>
      <c r="P94" s="473"/>
      <c r="Q94" s="473"/>
      <c r="R94" s="473"/>
      <c r="S94" s="473"/>
      <c r="T94" s="473"/>
      <c r="U94" s="473"/>
      <c r="V94" s="473"/>
      <c r="W94" s="473"/>
      <c r="X94" s="473"/>
      <c r="Y94" s="473"/>
      <c r="Z94" s="473"/>
    </row>
    <row r="95" spans="1:26" ht="18.75" customHeight="1">
      <c r="A95" s="472"/>
      <c r="B95" s="472"/>
      <c r="C95" s="472"/>
      <c r="D95" s="472"/>
      <c r="E95" s="472"/>
      <c r="F95" s="472"/>
      <c r="G95" s="472"/>
      <c r="H95" s="472"/>
      <c r="I95" s="472"/>
      <c r="J95" s="472"/>
      <c r="K95" s="457"/>
      <c r="L95" s="472"/>
      <c r="M95" s="472"/>
      <c r="N95" s="472"/>
      <c r="O95" s="473"/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</row>
    <row r="96" spans="1:26" ht="18.75" customHeight="1">
      <c r="A96" s="472"/>
      <c r="B96" s="472"/>
      <c r="C96" s="472"/>
      <c r="D96" s="472"/>
      <c r="E96" s="472"/>
      <c r="F96" s="472"/>
      <c r="G96" s="472"/>
      <c r="H96" s="472"/>
      <c r="I96" s="472"/>
      <c r="J96" s="472"/>
      <c r="K96" s="457"/>
      <c r="L96" s="472"/>
      <c r="M96" s="472"/>
      <c r="N96" s="472"/>
      <c r="O96" s="473"/>
      <c r="P96" s="473"/>
      <c r="Q96" s="473"/>
      <c r="R96" s="473"/>
      <c r="S96" s="473"/>
      <c r="T96" s="473"/>
      <c r="U96" s="473"/>
      <c r="V96" s="473"/>
      <c r="W96" s="473"/>
      <c r="X96" s="473"/>
      <c r="Y96" s="473"/>
      <c r="Z96" s="473"/>
    </row>
    <row r="97" spans="1:26" ht="18.75" customHeight="1">
      <c r="A97" s="472"/>
      <c r="B97" s="472"/>
      <c r="C97" s="472"/>
      <c r="D97" s="472"/>
      <c r="E97" s="472"/>
      <c r="F97" s="472"/>
      <c r="G97" s="472"/>
      <c r="H97" s="472"/>
      <c r="I97" s="472"/>
      <c r="J97" s="472"/>
      <c r="K97" s="457"/>
      <c r="L97" s="472"/>
      <c r="M97" s="472"/>
      <c r="N97" s="472"/>
      <c r="O97" s="473"/>
      <c r="P97" s="473"/>
      <c r="Q97" s="473"/>
      <c r="R97" s="473"/>
      <c r="S97" s="473"/>
      <c r="T97" s="473"/>
      <c r="U97" s="473"/>
      <c r="V97" s="473"/>
      <c r="W97" s="473"/>
      <c r="X97" s="473"/>
      <c r="Y97" s="473"/>
      <c r="Z97" s="473"/>
    </row>
    <row r="98" spans="1:26" ht="18.75" customHeight="1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57"/>
      <c r="L98" s="472"/>
      <c r="M98" s="472"/>
      <c r="N98" s="472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</row>
    <row r="99" spans="1:26" ht="18.75" customHeight="1">
      <c r="A99" s="472"/>
      <c r="B99" s="472"/>
      <c r="C99" s="472"/>
      <c r="D99" s="472"/>
      <c r="E99" s="472"/>
      <c r="F99" s="472"/>
      <c r="G99" s="472"/>
      <c r="H99" s="472"/>
      <c r="I99" s="472"/>
      <c r="J99" s="472"/>
      <c r="K99" s="457"/>
      <c r="L99" s="472"/>
      <c r="M99" s="472"/>
      <c r="N99" s="472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</row>
    <row r="100" spans="1:26" ht="18.75" customHeight="1">
      <c r="A100" s="472"/>
      <c r="B100" s="472"/>
      <c r="C100" s="472"/>
      <c r="D100" s="472"/>
      <c r="E100" s="472"/>
      <c r="F100" s="472"/>
      <c r="G100" s="472"/>
      <c r="H100" s="472"/>
      <c r="I100" s="472"/>
      <c r="J100" s="472"/>
      <c r="K100" s="457"/>
      <c r="L100" s="472"/>
      <c r="M100" s="472"/>
      <c r="N100" s="472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</row>
    <row r="101" spans="1:26" ht="18.75" customHeight="1">
      <c r="A101" s="472"/>
      <c r="B101" s="472"/>
      <c r="C101" s="472"/>
      <c r="D101" s="472"/>
      <c r="E101" s="472"/>
      <c r="F101" s="472"/>
      <c r="G101" s="472"/>
      <c r="H101" s="472"/>
      <c r="I101" s="472"/>
      <c r="J101" s="472"/>
      <c r="K101" s="457"/>
      <c r="L101" s="472"/>
      <c r="M101" s="472"/>
      <c r="N101" s="472"/>
      <c r="O101" s="473"/>
      <c r="P101" s="473"/>
      <c r="Q101" s="473"/>
      <c r="R101" s="473"/>
      <c r="S101" s="473"/>
      <c r="T101" s="473"/>
      <c r="U101" s="473"/>
      <c r="V101" s="473"/>
      <c r="W101" s="473"/>
      <c r="X101" s="473"/>
      <c r="Y101" s="473"/>
      <c r="Z101" s="473"/>
    </row>
    <row r="102" spans="1:26" ht="18.75" customHeight="1">
      <c r="A102" s="472"/>
      <c r="B102" s="472"/>
      <c r="C102" s="472"/>
      <c r="D102" s="472"/>
      <c r="E102" s="472"/>
      <c r="F102" s="472"/>
      <c r="G102" s="472"/>
      <c r="H102" s="472"/>
      <c r="I102" s="472"/>
      <c r="J102" s="472"/>
      <c r="K102" s="457"/>
      <c r="L102" s="472"/>
      <c r="M102" s="472"/>
      <c r="N102" s="472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  <c r="Y102" s="473"/>
      <c r="Z102" s="473"/>
    </row>
    <row r="103" spans="1:26" ht="18.75" customHeight="1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57"/>
      <c r="L103" s="472"/>
      <c r="M103" s="472"/>
      <c r="N103" s="472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</row>
    <row r="104" spans="1:26" ht="18.75" customHeight="1">
      <c r="A104" s="472"/>
      <c r="B104" s="472"/>
      <c r="C104" s="472"/>
      <c r="D104" s="472"/>
      <c r="E104" s="472"/>
      <c r="F104" s="472"/>
      <c r="G104" s="472"/>
      <c r="H104" s="472"/>
      <c r="I104" s="472"/>
      <c r="J104" s="472"/>
      <c r="K104" s="457"/>
      <c r="L104" s="472"/>
      <c r="M104" s="472"/>
      <c r="N104" s="472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</row>
    <row r="105" spans="1:26" ht="18.75" customHeight="1">
      <c r="A105" s="472"/>
      <c r="B105" s="472"/>
      <c r="C105" s="472"/>
      <c r="D105" s="472"/>
      <c r="E105" s="472"/>
      <c r="F105" s="472"/>
      <c r="G105" s="472"/>
      <c r="H105" s="472"/>
      <c r="I105" s="472"/>
      <c r="J105" s="472"/>
      <c r="K105" s="457"/>
      <c r="L105" s="472"/>
      <c r="M105" s="472"/>
      <c r="N105" s="472"/>
      <c r="O105" s="473"/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</row>
    <row r="106" spans="1:26" ht="18.75" customHeight="1">
      <c r="A106" s="472"/>
      <c r="B106" s="472"/>
      <c r="C106" s="472"/>
      <c r="D106" s="472"/>
      <c r="E106" s="472"/>
      <c r="F106" s="472"/>
      <c r="G106" s="472"/>
      <c r="H106" s="472"/>
      <c r="I106" s="472"/>
      <c r="J106" s="472"/>
      <c r="K106" s="457"/>
      <c r="L106" s="472"/>
      <c r="M106" s="472"/>
      <c r="N106" s="472"/>
      <c r="O106" s="473"/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</row>
    <row r="107" spans="1:26" ht="18.75" customHeight="1">
      <c r="A107" s="472"/>
      <c r="B107" s="472"/>
      <c r="C107" s="472"/>
      <c r="D107" s="472"/>
      <c r="E107" s="472"/>
      <c r="F107" s="472"/>
      <c r="G107" s="472"/>
      <c r="H107" s="472"/>
      <c r="I107" s="472"/>
      <c r="J107" s="472"/>
      <c r="K107" s="457"/>
      <c r="L107" s="472"/>
      <c r="M107" s="472"/>
      <c r="N107" s="472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</row>
    <row r="108" spans="1:26" ht="18.75" customHeight="1">
      <c r="A108" s="472"/>
      <c r="B108" s="472"/>
      <c r="C108" s="472"/>
      <c r="D108" s="472"/>
      <c r="E108" s="472"/>
      <c r="F108" s="472"/>
      <c r="G108" s="472"/>
      <c r="H108" s="472"/>
      <c r="I108" s="472"/>
      <c r="J108" s="472"/>
      <c r="K108" s="457"/>
      <c r="L108" s="472"/>
      <c r="M108" s="472"/>
      <c r="N108" s="472"/>
      <c r="O108" s="473"/>
      <c r="P108" s="473"/>
      <c r="Q108" s="473"/>
      <c r="R108" s="473"/>
      <c r="S108" s="473"/>
      <c r="T108" s="473"/>
      <c r="U108" s="473"/>
      <c r="V108" s="473"/>
      <c r="W108" s="473"/>
      <c r="X108" s="473"/>
      <c r="Y108" s="473"/>
      <c r="Z108" s="473"/>
    </row>
    <row r="109" spans="1:26" ht="18.75" customHeight="1">
      <c r="A109" s="472"/>
      <c r="B109" s="472"/>
      <c r="C109" s="472"/>
      <c r="D109" s="472"/>
      <c r="E109" s="472"/>
      <c r="F109" s="472"/>
      <c r="G109" s="472"/>
      <c r="H109" s="472"/>
      <c r="I109" s="472"/>
      <c r="J109" s="472"/>
      <c r="K109" s="457"/>
      <c r="L109" s="472"/>
      <c r="M109" s="472"/>
      <c r="N109" s="472"/>
      <c r="O109" s="473"/>
      <c r="P109" s="473"/>
      <c r="Q109" s="473"/>
      <c r="R109" s="473"/>
      <c r="S109" s="473"/>
      <c r="T109" s="473"/>
      <c r="U109" s="473"/>
      <c r="V109" s="473"/>
      <c r="W109" s="473"/>
      <c r="X109" s="473"/>
      <c r="Y109" s="473"/>
      <c r="Z109" s="473"/>
    </row>
    <row r="110" spans="1:26" ht="18.75" customHeight="1">
      <c r="A110" s="472"/>
      <c r="B110" s="472"/>
      <c r="C110" s="472"/>
      <c r="D110" s="472"/>
      <c r="E110" s="472"/>
      <c r="F110" s="472"/>
      <c r="G110" s="472"/>
      <c r="H110" s="472"/>
      <c r="I110" s="472"/>
      <c r="J110" s="472"/>
      <c r="K110" s="457"/>
      <c r="L110" s="472"/>
      <c r="M110" s="472"/>
      <c r="N110" s="472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</row>
    <row r="111" spans="1:26" ht="18.75" customHeight="1">
      <c r="A111" s="472"/>
      <c r="B111" s="472"/>
      <c r="C111" s="472"/>
      <c r="D111" s="472"/>
      <c r="E111" s="472"/>
      <c r="F111" s="472"/>
      <c r="G111" s="472"/>
      <c r="H111" s="472"/>
      <c r="I111" s="472"/>
      <c r="J111" s="472"/>
      <c r="K111" s="457"/>
      <c r="L111" s="472"/>
      <c r="M111" s="472"/>
      <c r="N111" s="472"/>
      <c r="O111" s="473"/>
      <c r="P111" s="473"/>
      <c r="Q111" s="473"/>
      <c r="R111" s="473"/>
      <c r="S111" s="473"/>
      <c r="T111" s="473"/>
      <c r="U111" s="473"/>
      <c r="V111" s="473"/>
      <c r="W111" s="473"/>
      <c r="X111" s="473"/>
      <c r="Y111" s="473"/>
      <c r="Z111" s="473"/>
    </row>
    <row r="112" spans="1:26" ht="18.75" customHeight="1">
      <c r="A112" s="472"/>
      <c r="B112" s="472"/>
      <c r="C112" s="472"/>
      <c r="D112" s="472"/>
      <c r="E112" s="472"/>
      <c r="F112" s="472"/>
      <c r="G112" s="472"/>
      <c r="H112" s="472"/>
      <c r="I112" s="472"/>
      <c r="J112" s="472"/>
      <c r="K112" s="457"/>
      <c r="L112" s="472"/>
      <c r="M112" s="472"/>
      <c r="N112" s="472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</row>
    <row r="113" spans="1:26" ht="18.75" customHeight="1">
      <c r="A113" s="472"/>
      <c r="B113" s="472"/>
      <c r="C113" s="472"/>
      <c r="D113" s="472"/>
      <c r="E113" s="472"/>
      <c r="F113" s="472"/>
      <c r="G113" s="472"/>
      <c r="H113" s="472"/>
      <c r="I113" s="472"/>
      <c r="J113" s="472"/>
      <c r="K113" s="457"/>
      <c r="L113" s="472"/>
      <c r="M113" s="472"/>
      <c r="N113" s="472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</row>
    <row r="114" spans="1:26" ht="18.75" customHeight="1">
      <c r="A114" s="472"/>
      <c r="B114" s="472"/>
      <c r="C114" s="472"/>
      <c r="D114" s="472"/>
      <c r="E114" s="472"/>
      <c r="F114" s="472"/>
      <c r="G114" s="472"/>
      <c r="H114" s="472"/>
      <c r="I114" s="472"/>
      <c r="J114" s="472"/>
      <c r="K114" s="457"/>
      <c r="L114" s="472"/>
      <c r="M114" s="472"/>
      <c r="N114" s="472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</row>
    <row r="115" spans="1:26" ht="18.75" customHeight="1">
      <c r="A115" s="472"/>
      <c r="B115" s="472"/>
      <c r="C115" s="472"/>
      <c r="D115" s="472"/>
      <c r="E115" s="472"/>
      <c r="F115" s="472"/>
      <c r="G115" s="472"/>
      <c r="H115" s="472"/>
      <c r="I115" s="472"/>
      <c r="J115" s="472"/>
      <c r="K115" s="457"/>
      <c r="L115" s="472"/>
      <c r="M115" s="472"/>
      <c r="N115" s="472"/>
      <c r="O115" s="473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</row>
    <row r="116" spans="1:26" ht="18.75" customHeight="1">
      <c r="A116" s="472"/>
      <c r="B116" s="472"/>
      <c r="C116" s="472"/>
      <c r="D116" s="472"/>
      <c r="E116" s="472"/>
      <c r="F116" s="472"/>
      <c r="G116" s="472"/>
      <c r="H116" s="472"/>
      <c r="I116" s="472"/>
      <c r="J116" s="472"/>
      <c r="K116" s="457"/>
      <c r="L116" s="472"/>
      <c r="M116" s="472"/>
      <c r="N116" s="472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</row>
    <row r="117" spans="1:26" ht="18.75" customHeight="1">
      <c r="A117" s="472"/>
      <c r="B117" s="472"/>
      <c r="C117" s="472"/>
      <c r="D117" s="472"/>
      <c r="E117" s="472"/>
      <c r="F117" s="472"/>
      <c r="G117" s="472"/>
      <c r="H117" s="472"/>
      <c r="I117" s="472"/>
      <c r="J117" s="472"/>
      <c r="K117" s="457"/>
      <c r="L117" s="472"/>
      <c r="M117" s="472"/>
      <c r="N117" s="472"/>
      <c r="O117" s="473"/>
      <c r="P117" s="473"/>
      <c r="Q117" s="473"/>
      <c r="R117" s="473"/>
      <c r="S117" s="473"/>
      <c r="T117" s="473"/>
      <c r="U117" s="473"/>
      <c r="V117" s="473"/>
      <c r="W117" s="473"/>
      <c r="X117" s="473"/>
      <c r="Y117" s="473"/>
      <c r="Z117" s="473"/>
    </row>
    <row r="118" spans="1:26" ht="18.75" customHeight="1">
      <c r="A118" s="472"/>
      <c r="B118" s="472"/>
      <c r="C118" s="472"/>
      <c r="D118" s="472"/>
      <c r="E118" s="472"/>
      <c r="F118" s="472"/>
      <c r="G118" s="472"/>
      <c r="H118" s="472"/>
      <c r="I118" s="472"/>
      <c r="J118" s="472"/>
      <c r="K118" s="457"/>
      <c r="L118" s="472"/>
      <c r="M118" s="472"/>
      <c r="N118" s="472"/>
      <c r="O118" s="473"/>
      <c r="P118" s="473"/>
      <c r="Q118" s="473"/>
      <c r="R118" s="473"/>
      <c r="S118" s="473"/>
      <c r="T118" s="473"/>
      <c r="U118" s="473"/>
      <c r="V118" s="473"/>
      <c r="W118" s="473"/>
      <c r="X118" s="473"/>
      <c r="Y118" s="473"/>
      <c r="Z118" s="473"/>
    </row>
    <row r="119" spans="1:26" ht="18.75" customHeight="1">
      <c r="A119" s="472"/>
      <c r="B119" s="472"/>
      <c r="C119" s="472"/>
      <c r="D119" s="472"/>
      <c r="E119" s="472"/>
      <c r="F119" s="472"/>
      <c r="G119" s="472"/>
      <c r="H119" s="472"/>
      <c r="I119" s="472"/>
      <c r="J119" s="472"/>
      <c r="K119" s="457"/>
      <c r="L119" s="472"/>
      <c r="M119" s="472"/>
      <c r="N119" s="472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</row>
    <row r="120" spans="1:26" ht="18.75" customHeight="1">
      <c r="A120" s="472"/>
      <c r="B120" s="472"/>
      <c r="C120" s="472"/>
      <c r="D120" s="472"/>
      <c r="E120" s="472"/>
      <c r="F120" s="472"/>
      <c r="G120" s="472"/>
      <c r="H120" s="472"/>
      <c r="I120" s="472"/>
      <c r="J120" s="472"/>
      <c r="K120" s="457"/>
      <c r="L120" s="472"/>
      <c r="M120" s="472"/>
      <c r="N120" s="472"/>
      <c r="O120" s="473"/>
      <c r="P120" s="473"/>
      <c r="Q120" s="473"/>
      <c r="R120" s="473"/>
      <c r="S120" s="473"/>
      <c r="T120" s="473"/>
      <c r="U120" s="473"/>
      <c r="V120" s="473"/>
      <c r="W120" s="473"/>
      <c r="X120" s="473"/>
      <c r="Y120" s="473"/>
      <c r="Z120" s="473"/>
    </row>
    <row r="121" spans="1:26" ht="18.75" customHeight="1">
      <c r="A121" s="472"/>
      <c r="B121" s="472"/>
      <c r="C121" s="472"/>
      <c r="D121" s="472"/>
      <c r="E121" s="472"/>
      <c r="F121" s="472"/>
      <c r="G121" s="472"/>
      <c r="H121" s="472"/>
      <c r="I121" s="472"/>
      <c r="J121" s="472"/>
      <c r="K121" s="457"/>
      <c r="L121" s="472"/>
      <c r="M121" s="472"/>
      <c r="N121" s="472"/>
      <c r="O121" s="473"/>
      <c r="P121" s="473"/>
      <c r="Q121" s="473"/>
      <c r="R121" s="473"/>
      <c r="S121" s="473"/>
      <c r="T121" s="473"/>
      <c r="U121" s="473"/>
      <c r="V121" s="473"/>
      <c r="W121" s="473"/>
      <c r="X121" s="473"/>
      <c r="Y121" s="473"/>
      <c r="Z121" s="473"/>
    </row>
    <row r="122" spans="1:26" ht="18.75" customHeight="1">
      <c r="A122" s="472"/>
      <c r="B122" s="472"/>
      <c r="C122" s="472"/>
      <c r="D122" s="472"/>
      <c r="E122" s="472"/>
      <c r="F122" s="472"/>
      <c r="G122" s="472"/>
      <c r="H122" s="472"/>
      <c r="I122" s="472"/>
      <c r="J122" s="472"/>
      <c r="K122" s="457"/>
      <c r="L122" s="472"/>
      <c r="M122" s="472"/>
      <c r="N122" s="472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</row>
    <row r="123" spans="1:26" ht="18.75" customHeight="1">
      <c r="A123" s="472"/>
      <c r="B123" s="472"/>
      <c r="C123" s="472"/>
      <c r="D123" s="472"/>
      <c r="E123" s="472"/>
      <c r="F123" s="472"/>
      <c r="G123" s="472"/>
      <c r="H123" s="472"/>
      <c r="I123" s="472"/>
      <c r="J123" s="472"/>
      <c r="K123" s="457"/>
      <c r="L123" s="472"/>
      <c r="M123" s="472"/>
      <c r="N123" s="472"/>
      <c r="O123" s="473"/>
      <c r="P123" s="473"/>
      <c r="Q123" s="473"/>
      <c r="R123" s="473"/>
      <c r="S123" s="473"/>
      <c r="T123" s="473"/>
      <c r="U123" s="473"/>
      <c r="V123" s="473"/>
      <c r="W123" s="473"/>
      <c r="X123" s="473"/>
      <c r="Y123" s="473"/>
      <c r="Z123" s="473"/>
    </row>
    <row r="124" spans="1:26" ht="18.75" customHeight="1">
      <c r="A124" s="472"/>
      <c r="B124" s="472"/>
      <c r="C124" s="472"/>
      <c r="D124" s="472"/>
      <c r="E124" s="472"/>
      <c r="F124" s="472"/>
      <c r="G124" s="472"/>
      <c r="H124" s="472"/>
      <c r="I124" s="472"/>
      <c r="J124" s="472"/>
      <c r="K124" s="457"/>
      <c r="L124" s="472"/>
      <c r="M124" s="472"/>
      <c r="N124" s="472"/>
      <c r="O124" s="473"/>
      <c r="P124" s="473"/>
      <c r="Q124" s="473"/>
      <c r="R124" s="473"/>
      <c r="S124" s="473"/>
      <c r="T124" s="473"/>
      <c r="U124" s="473"/>
      <c r="V124" s="473"/>
      <c r="W124" s="473"/>
      <c r="X124" s="473"/>
      <c r="Y124" s="473"/>
      <c r="Z124" s="473"/>
    </row>
    <row r="125" spans="1:26" ht="18.75" customHeight="1">
      <c r="A125" s="472"/>
      <c r="B125" s="472"/>
      <c r="C125" s="472"/>
      <c r="D125" s="472"/>
      <c r="E125" s="472"/>
      <c r="F125" s="472"/>
      <c r="G125" s="472"/>
      <c r="H125" s="472"/>
      <c r="I125" s="472"/>
      <c r="J125" s="472"/>
      <c r="K125" s="457"/>
      <c r="L125" s="472"/>
      <c r="M125" s="472"/>
      <c r="N125" s="472"/>
      <c r="O125" s="473"/>
      <c r="P125" s="473"/>
      <c r="Q125" s="473"/>
      <c r="R125" s="473"/>
      <c r="S125" s="473"/>
      <c r="T125" s="473"/>
      <c r="U125" s="473"/>
      <c r="V125" s="473"/>
      <c r="W125" s="473"/>
      <c r="X125" s="473"/>
      <c r="Y125" s="473"/>
      <c r="Z125" s="473"/>
    </row>
    <row r="126" spans="1:26" ht="18.75" customHeight="1">
      <c r="A126" s="472"/>
      <c r="B126" s="472"/>
      <c r="C126" s="472"/>
      <c r="D126" s="472"/>
      <c r="E126" s="472"/>
      <c r="F126" s="472"/>
      <c r="G126" s="472"/>
      <c r="H126" s="472"/>
      <c r="I126" s="472"/>
      <c r="J126" s="472"/>
      <c r="K126" s="457"/>
      <c r="L126" s="472"/>
      <c r="M126" s="472"/>
      <c r="N126" s="472"/>
      <c r="O126" s="473"/>
      <c r="P126" s="473"/>
      <c r="Q126" s="473"/>
      <c r="R126" s="473"/>
      <c r="S126" s="473"/>
      <c r="T126" s="473"/>
      <c r="U126" s="473"/>
      <c r="V126" s="473"/>
      <c r="W126" s="473"/>
      <c r="X126" s="473"/>
      <c r="Y126" s="473"/>
      <c r="Z126" s="473"/>
    </row>
    <row r="127" spans="1:26" ht="18.75" customHeight="1">
      <c r="A127" s="472"/>
      <c r="B127" s="472"/>
      <c r="C127" s="472"/>
      <c r="D127" s="472"/>
      <c r="E127" s="472"/>
      <c r="F127" s="472"/>
      <c r="G127" s="472"/>
      <c r="H127" s="472"/>
      <c r="I127" s="472"/>
      <c r="J127" s="472"/>
      <c r="K127" s="457"/>
      <c r="L127" s="472"/>
      <c r="M127" s="472"/>
      <c r="N127" s="472"/>
      <c r="O127" s="473"/>
      <c r="P127" s="473"/>
      <c r="Q127" s="473"/>
      <c r="R127" s="473"/>
      <c r="S127" s="473"/>
      <c r="T127" s="473"/>
      <c r="U127" s="473"/>
      <c r="V127" s="473"/>
      <c r="W127" s="473"/>
      <c r="X127" s="473"/>
      <c r="Y127" s="473"/>
      <c r="Z127" s="473"/>
    </row>
    <row r="128" spans="1:26" ht="18.75" customHeight="1">
      <c r="A128" s="472"/>
      <c r="B128" s="472"/>
      <c r="C128" s="472"/>
      <c r="D128" s="472"/>
      <c r="E128" s="472"/>
      <c r="F128" s="472"/>
      <c r="G128" s="472"/>
      <c r="H128" s="472"/>
      <c r="I128" s="472"/>
      <c r="J128" s="472"/>
      <c r="K128" s="457"/>
      <c r="L128" s="472"/>
      <c r="M128" s="472"/>
      <c r="N128" s="472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</row>
    <row r="129" spans="1:26" ht="18.75" customHeight="1">
      <c r="A129" s="472"/>
      <c r="B129" s="472"/>
      <c r="C129" s="472"/>
      <c r="D129" s="472"/>
      <c r="E129" s="472"/>
      <c r="F129" s="472"/>
      <c r="G129" s="472"/>
      <c r="H129" s="472"/>
      <c r="I129" s="472"/>
      <c r="J129" s="472"/>
      <c r="K129" s="457"/>
      <c r="L129" s="472"/>
      <c r="M129" s="472"/>
      <c r="N129" s="472"/>
      <c r="O129" s="473"/>
      <c r="P129" s="473"/>
      <c r="Q129" s="473"/>
      <c r="R129" s="473"/>
      <c r="S129" s="473"/>
      <c r="T129" s="473"/>
      <c r="U129" s="473"/>
      <c r="V129" s="473"/>
      <c r="W129" s="473"/>
      <c r="X129" s="473"/>
      <c r="Y129" s="473"/>
      <c r="Z129" s="473"/>
    </row>
    <row r="130" spans="1:26" ht="18.75" customHeight="1">
      <c r="A130" s="472"/>
      <c r="B130" s="472"/>
      <c r="C130" s="472"/>
      <c r="D130" s="472"/>
      <c r="E130" s="472"/>
      <c r="F130" s="472"/>
      <c r="G130" s="472"/>
      <c r="H130" s="472"/>
      <c r="I130" s="472"/>
      <c r="J130" s="472"/>
      <c r="K130" s="457"/>
      <c r="L130" s="472"/>
      <c r="M130" s="472"/>
      <c r="N130" s="472"/>
      <c r="O130" s="473"/>
      <c r="P130" s="473"/>
      <c r="Q130" s="473"/>
      <c r="R130" s="473"/>
      <c r="S130" s="473"/>
      <c r="T130" s="473"/>
      <c r="U130" s="473"/>
      <c r="V130" s="473"/>
      <c r="W130" s="473"/>
      <c r="X130" s="473"/>
      <c r="Y130" s="473"/>
      <c r="Z130" s="473"/>
    </row>
    <row r="131" spans="1:26" ht="18.75" customHeight="1">
      <c r="A131" s="472"/>
      <c r="B131" s="472"/>
      <c r="C131" s="472"/>
      <c r="D131" s="472"/>
      <c r="E131" s="472"/>
      <c r="F131" s="472"/>
      <c r="G131" s="472"/>
      <c r="H131" s="472"/>
      <c r="I131" s="472"/>
      <c r="J131" s="472"/>
      <c r="K131" s="457"/>
      <c r="L131" s="472"/>
      <c r="M131" s="472"/>
      <c r="N131" s="472"/>
      <c r="O131" s="473"/>
      <c r="P131" s="473"/>
      <c r="Q131" s="473"/>
      <c r="R131" s="473"/>
      <c r="S131" s="473"/>
      <c r="T131" s="473"/>
      <c r="U131" s="473"/>
      <c r="V131" s="473"/>
      <c r="W131" s="473"/>
      <c r="X131" s="473"/>
      <c r="Y131" s="473"/>
      <c r="Z131" s="473"/>
    </row>
    <row r="132" spans="1:26" ht="18.75" customHeight="1">
      <c r="A132" s="472"/>
      <c r="B132" s="472"/>
      <c r="C132" s="472"/>
      <c r="D132" s="472"/>
      <c r="E132" s="472"/>
      <c r="F132" s="472"/>
      <c r="G132" s="472"/>
      <c r="H132" s="472"/>
      <c r="I132" s="472"/>
      <c r="J132" s="472"/>
      <c r="K132" s="457"/>
      <c r="L132" s="472"/>
      <c r="M132" s="472"/>
      <c r="N132" s="472"/>
      <c r="O132" s="473"/>
      <c r="P132" s="473"/>
      <c r="Q132" s="473"/>
      <c r="R132" s="473"/>
      <c r="S132" s="473"/>
      <c r="T132" s="473"/>
      <c r="U132" s="473"/>
      <c r="V132" s="473"/>
      <c r="W132" s="473"/>
      <c r="X132" s="473"/>
      <c r="Y132" s="473"/>
      <c r="Z132" s="473"/>
    </row>
    <row r="133" spans="1:26" ht="18.75" customHeight="1">
      <c r="A133" s="472"/>
      <c r="B133" s="472"/>
      <c r="C133" s="472"/>
      <c r="D133" s="472"/>
      <c r="E133" s="472"/>
      <c r="F133" s="472"/>
      <c r="G133" s="472"/>
      <c r="H133" s="472"/>
      <c r="I133" s="472"/>
      <c r="J133" s="472"/>
      <c r="K133" s="457"/>
      <c r="L133" s="472"/>
      <c r="M133" s="472"/>
      <c r="N133" s="472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</row>
    <row r="134" spans="1:26" ht="18.75" customHeight="1">
      <c r="A134" s="472"/>
      <c r="B134" s="472"/>
      <c r="C134" s="472"/>
      <c r="D134" s="472"/>
      <c r="E134" s="472"/>
      <c r="F134" s="472"/>
      <c r="G134" s="472"/>
      <c r="H134" s="472"/>
      <c r="I134" s="472"/>
      <c r="J134" s="472"/>
      <c r="K134" s="457"/>
      <c r="L134" s="472"/>
      <c r="M134" s="472"/>
      <c r="N134" s="472"/>
      <c r="O134" s="473"/>
      <c r="P134" s="473"/>
      <c r="Q134" s="473"/>
      <c r="R134" s="473"/>
      <c r="S134" s="473"/>
      <c r="T134" s="473"/>
      <c r="U134" s="473"/>
      <c r="V134" s="473"/>
      <c r="W134" s="473"/>
      <c r="X134" s="473"/>
      <c r="Y134" s="473"/>
      <c r="Z134" s="473"/>
    </row>
    <row r="135" spans="1:26" ht="18.75" customHeight="1">
      <c r="A135" s="472"/>
      <c r="B135" s="472"/>
      <c r="C135" s="472"/>
      <c r="D135" s="472"/>
      <c r="E135" s="472"/>
      <c r="F135" s="472"/>
      <c r="G135" s="472"/>
      <c r="H135" s="472"/>
      <c r="I135" s="472"/>
      <c r="J135" s="472"/>
      <c r="K135" s="457"/>
      <c r="L135" s="472"/>
      <c r="M135" s="472"/>
      <c r="N135" s="472"/>
      <c r="O135" s="473"/>
      <c r="P135" s="473"/>
      <c r="Q135" s="473"/>
      <c r="R135" s="473"/>
      <c r="S135" s="473"/>
      <c r="T135" s="473"/>
      <c r="U135" s="473"/>
      <c r="V135" s="473"/>
      <c r="W135" s="473"/>
      <c r="X135" s="473"/>
      <c r="Y135" s="473"/>
      <c r="Z135" s="473"/>
    </row>
    <row r="136" spans="1:26" ht="18.75" customHeight="1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57"/>
      <c r="L136" s="472"/>
      <c r="M136" s="472"/>
      <c r="N136" s="472"/>
      <c r="O136" s="473"/>
      <c r="P136" s="473"/>
      <c r="Q136" s="473"/>
      <c r="R136" s="473"/>
      <c r="S136" s="473"/>
      <c r="T136" s="473"/>
      <c r="U136" s="473"/>
      <c r="V136" s="473"/>
      <c r="W136" s="473"/>
      <c r="X136" s="473"/>
      <c r="Y136" s="473"/>
      <c r="Z136" s="473"/>
    </row>
    <row r="137" spans="1:26" ht="18.75" customHeight="1">
      <c r="A137" s="472"/>
      <c r="B137" s="472"/>
      <c r="C137" s="472"/>
      <c r="D137" s="472"/>
      <c r="E137" s="472"/>
      <c r="F137" s="472"/>
      <c r="G137" s="472"/>
      <c r="H137" s="472"/>
      <c r="I137" s="472"/>
      <c r="J137" s="472"/>
      <c r="K137" s="457"/>
      <c r="L137" s="472"/>
      <c r="M137" s="472"/>
      <c r="N137" s="472"/>
      <c r="O137" s="473"/>
      <c r="P137" s="473"/>
      <c r="Q137" s="473"/>
      <c r="R137" s="473"/>
      <c r="S137" s="473"/>
      <c r="T137" s="473"/>
      <c r="U137" s="473"/>
      <c r="V137" s="473"/>
      <c r="W137" s="473"/>
      <c r="X137" s="473"/>
      <c r="Y137" s="473"/>
      <c r="Z137" s="473"/>
    </row>
    <row r="138" spans="1:26" ht="18.75" customHeight="1">
      <c r="A138" s="472"/>
      <c r="B138" s="472"/>
      <c r="C138" s="472"/>
      <c r="D138" s="472"/>
      <c r="E138" s="472"/>
      <c r="F138" s="472"/>
      <c r="G138" s="472"/>
      <c r="H138" s="472"/>
      <c r="I138" s="472"/>
      <c r="J138" s="472"/>
      <c r="K138" s="457"/>
      <c r="L138" s="472"/>
      <c r="M138" s="472"/>
      <c r="N138" s="472"/>
      <c r="O138" s="473"/>
      <c r="P138" s="473"/>
      <c r="Q138" s="473"/>
      <c r="R138" s="473"/>
      <c r="S138" s="473"/>
      <c r="T138" s="473"/>
      <c r="U138" s="473"/>
      <c r="V138" s="473"/>
      <c r="W138" s="473"/>
      <c r="X138" s="473"/>
      <c r="Y138" s="473"/>
      <c r="Z138" s="473"/>
    </row>
    <row r="139" spans="1:26" ht="18.75" customHeight="1">
      <c r="A139" s="472"/>
      <c r="B139" s="472"/>
      <c r="C139" s="472"/>
      <c r="D139" s="472"/>
      <c r="E139" s="472"/>
      <c r="F139" s="472"/>
      <c r="G139" s="472"/>
      <c r="H139" s="472"/>
      <c r="I139" s="472"/>
      <c r="J139" s="472"/>
      <c r="K139" s="457"/>
      <c r="L139" s="472"/>
      <c r="M139" s="472"/>
      <c r="N139" s="472"/>
      <c r="O139" s="473"/>
      <c r="P139" s="473"/>
      <c r="Q139" s="473"/>
      <c r="R139" s="473"/>
      <c r="S139" s="473"/>
      <c r="T139" s="473"/>
      <c r="U139" s="473"/>
      <c r="V139" s="473"/>
      <c r="W139" s="473"/>
      <c r="X139" s="473"/>
      <c r="Y139" s="473"/>
      <c r="Z139" s="473"/>
    </row>
    <row r="140" spans="1:26" ht="18.75" customHeight="1">
      <c r="A140" s="472"/>
      <c r="B140" s="472"/>
      <c r="C140" s="472"/>
      <c r="D140" s="472"/>
      <c r="E140" s="472"/>
      <c r="F140" s="472"/>
      <c r="G140" s="472"/>
      <c r="H140" s="472"/>
      <c r="I140" s="472"/>
      <c r="J140" s="472"/>
      <c r="K140" s="457"/>
      <c r="L140" s="472"/>
      <c r="M140" s="472"/>
      <c r="N140" s="472"/>
      <c r="O140" s="473"/>
      <c r="P140" s="473"/>
      <c r="Q140" s="473"/>
      <c r="R140" s="473"/>
      <c r="S140" s="473"/>
      <c r="T140" s="473"/>
      <c r="U140" s="473"/>
      <c r="V140" s="473"/>
      <c r="W140" s="473"/>
      <c r="X140" s="473"/>
      <c r="Y140" s="473"/>
      <c r="Z140" s="473"/>
    </row>
    <row r="141" spans="1:26" ht="18.75" customHeight="1">
      <c r="A141" s="472"/>
      <c r="B141" s="472"/>
      <c r="C141" s="472"/>
      <c r="D141" s="472"/>
      <c r="E141" s="472"/>
      <c r="F141" s="472"/>
      <c r="G141" s="472"/>
      <c r="H141" s="472"/>
      <c r="I141" s="472"/>
      <c r="J141" s="472"/>
      <c r="K141" s="457"/>
      <c r="L141" s="472"/>
      <c r="M141" s="472"/>
      <c r="N141" s="472"/>
      <c r="O141" s="473"/>
      <c r="P141" s="473"/>
      <c r="Q141" s="473"/>
      <c r="R141" s="473"/>
      <c r="S141" s="473"/>
      <c r="T141" s="473"/>
      <c r="U141" s="473"/>
      <c r="V141" s="473"/>
      <c r="W141" s="473"/>
      <c r="X141" s="473"/>
      <c r="Y141" s="473"/>
      <c r="Z141" s="473"/>
    </row>
    <row r="142" spans="1:26" ht="18.75" customHeight="1">
      <c r="A142" s="472"/>
      <c r="B142" s="472"/>
      <c r="C142" s="472"/>
      <c r="D142" s="472"/>
      <c r="E142" s="472"/>
      <c r="F142" s="472"/>
      <c r="G142" s="472"/>
      <c r="H142" s="472"/>
      <c r="I142" s="472"/>
      <c r="J142" s="472"/>
      <c r="K142" s="457"/>
      <c r="L142" s="472"/>
      <c r="M142" s="472"/>
      <c r="N142" s="472"/>
      <c r="O142" s="473"/>
      <c r="P142" s="473"/>
      <c r="Q142" s="473"/>
      <c r="R142" s="473"/>
      <c r="S142" s="473"/>
      <c r="T142" s="473"/>
      <c r="U142" s="473"/>
      <c r="V142" s="473"/>
      <c r="W142" s="473"/>
      <c r="X142" s="473"/>
      <c r="Y142" s="473"/>
      <c r="Z142" s="473"/>
    </row>
    <row r="143" spans="1:26" ht="18.75" customHeight="1">
      <c r="A143" s="472"/>
      <c r="B143" s="472"/>
      <c r="C143" s="472"/>
      <c r="D143" s="472"/>
      <c r="E143" s="472"/>
      <c r="F143" s="472"/>
      <c r="G143" s="472"/>
      <c r="H143" s="472"/>
      <c r="I143" s="472"/>
      <c r="J143" s="472"/>
      <c r="K143" s="457"/>
      <c r="L143" s="472"/>
      <c r="M143" s="472"/>
      <c r="N143" s="472"/>
      <c r="O143" s="473"/>
      <c r="P143" s="473"/>
      <c r="Q143" s="473"/>
      <c r="R143" s="473"/>
      <c r="S143" s="473"/>
      <c r="T143" s="473"/>
      <c r="U143" s="473"/>
      <c r="V143" s="473"/>
      <c r="W143" s="473"/>
      <c r="X143" s="473"/>
      <c r="Y143" s="473"/>
      <c r="Z143" s="473"/>
    </row>
    <row r="144" spans="1:26" ht="18.75" customHeight="1">
      <c r="A144" s="472"/>
      <c r="B144" s="472"/>
      <c r="C144" s="472"/>
      <c r="D144" s="472"/>
      <c r="E144" s="472"/>
      <c r="F144" s="472"/>
      <c r="G144" s="472"/>
      <c r="H144" s="472"/>
      <c r="I144" s="472"/>
      <c r="J144" s="472"/>
      <c r="K144" s="457"/>
      <c r="L144" s="472"/>
      <c r="M144" s="472"/>
      <c r="N144" s="472"/>
      <c r="O144" s="473"/>
      <c r="P144" s="473"/>
      <c r="Q144" s="473"/>
      <c r="R144" s="473"/>
      <c r="S144" s="473"/>
      <c r="T144" s="473"/>
      <c r="U144" s="473"/>
      <c r="V144" s="473"/>
      <c r="W144" s="473"/>
      <c r="X144" s="473"/>
      <c r="Y144" s="473"/>
      <c r="Z144" s="473"/>
    </row>
    <row r="145" spans="1:26" ht="18.75" customHeight="1">
      <c r="A145" s="472"/>
      <c r="B145" s="472"/>
      <c r="C145" s="472"/>
      <c r="D145" s="472"/>
      <c r="E145" s="472"/>
      <c r="F145" s="472"/>
      <c r="G145" s="472"/>
      <c r="H145" s="472"/>
      <c r="I145" s="472"/>
      <c r="J145" s="472"/>
      <c r="K145" s="457"/>
      <c r="L145" s="472"/>
      <c r="M145" s="472"/>
      <c r="N145" s="472"/>
      <c r="O145" s="473"/>
      <c r="P145" s="473"/>
      <c r="Q145" s="473"/>
      <c r="R145" s="473"/>
      <c r="S145" s="473"/>
      <c r="T145" s="473"/>
      <c r="U145" s="473"/>
      <c r="V145" s="473"/>
      <c r="W145" s="473"/>
      <c r="X145" s="473"/>
      <c r="Y145" s="473"/>
      <c r="Z145" s="473"/>
    </row>
    <row r="146" spans="1:26" ht="18.75" customHeight="1">
      <c r="A146" s="472"/>
      <c r="B146" s="472"/>
      <c r="C146" s="472"/>
      <c r="D146" s="472"/>
      <c r="E146" s="472"/>
      <c r="F146" s="472"/>
      <c r="G146" s="472"/>
      <c r="H146" s="472"/>
      <c r="I146" s="472"/>
      <c r="J146" s="472"/>
      <c r="K146" s="457"/>
      <c r="L146" s="472"/>
      <c r="M146" s="472"/>
      <c r="N146" s="472"/>
      <c r="O146" s="473"/>
      <c r="P146" s="473"/>
      <c r="Q146" s="473"/>
      <c r="R146" s="473"/>
      <c r="S146" s="473"/>
      <c r="T146" s="473"/>
      <c r="U146" s="473"/>
      <c r="V146" s="473"/>
      <c r="W146" s="473"/>
      <c r="X146" s="473"/>
      <c r="Y146" s="473"/>
      <c r="Z146" s="473"/>
    </row>
    <row r="147" spans="1:26" ht="18.75" customHeight="1">
      <c r="A147" s="472"/>
      <c r="B147" s="472"/>
      <c r="C147" s="472"/>
      <c r="D147" s="472"/>
      <c r="E147" s="472"/>
      <c r="F147" s="472"/>
      <c r="G147" s="472"/>
      <c r="H147" s="472"/>
      <c r="I147" s="472"/>
      <c r="J147" s="472"/>
      <c r="K147" s="457"/>
      <c r="L147" s="472"/>
      <c r="M147" s="472"/>
      <c r="N147" s="472"/>
      <c r="O147" s="473"/>
      <c r="P147" s="473"/>
      <c r="Q147" s="473"/>
      <c r="R147" s="473"/>
      <c r="S147" s="473"/>
      <c r="T147" s="473"/>
      <c r="U147" s="473"/>
      <c r="V147" s="473"/>
      <c r="W147" s="473"/>
      <c r="X147" s="473"/>
      <c r="Y147" s="473"/>
      <c r="Z147" s="473"/>
    </row>
    <row r="148" spans="1:26" ht="18.75" customHeight="1">
      <c r="A148" s="472"/>
      <c r="B148" s="472"/>
      <c r="C148" s="472"/>
      <c r="D148" s="472"/>
      <c r="E148" s="472"/>
      <c r="F148" s="472"/>
      <c r="G148" s="472"/>
      <c r="H148" s="472"/>
      <c r="I148" s="472"/>
      <c r="J148" s="472"/>
      <c r="K148" s="457"/>
      <c r="L148" s="472"/>
      <c r="M148" s="472"/>
      <c r="N148" s="472"/>
      <c r="O148" s="473"/>
      <c r="P148" s="473"/>
      <c r="Q148" s="473"/>
      <c r="R148" s="473"/>
      <c r="S148" s="473"/>
      <c r="T148" s="473"/>
      <c r="U148" s="473"/>
      <c r="V148" s="473"/>
      <c r="W148" s="473"/>
      <c r="X148" s="473"/>
      <c r="Y148" s="473"/>
      <c r="Z148" s="473"/>
    </row>
    <row r="149" spans="1:26" ht="18.75" customHeight="1">
      <c r="A149" s="472"/>
      <c r="B149" s="472"/>
      <c r="C149" s="472"/>
      <c r="D149" s="472"/>
      <c r="E149" s="472"/>
      <c r="F149" s="472"/>
      <c r="G149" s="472"/>
      <c r="H149" s="472"/>
      <c r="I149" s="472"/>
      <c r="J149" s="472"/>
      <c r="K149" s="457"/>
      <c r="L149" s="472"/>
      <c r="M149" s="472"/>
      <c r="N149" s="472"/>
      <c r="O149" s="473"/>
      <c r="P149" s="473"/>
      <c r="Q149" s="473"/>
      <c r="R149" s="473"/>
      <c r="S149" s="473"/>
      <c r="T149" s="473"/>
      <c r="U149" s="473"/>
      <c r="V149" s="473"/>
      <c r="W149" s="473"/>
      <c r="X149" s="473"/>
      <c r="Y149" s="473"/>
      <c r="Z149" s="473"/>
    </row>
    <row r="150" spans="1:26" ht="18.75" customHeight="1">
      <c r="A150" s="472"/>
      <c r="B150" s="472"/>
      <c r="C150" s="472"/>
      <c r="D150" s="472"/>
      <c r="E150" s="472"/>
      <c r="F150" s="472"/>
      <c r="G150" s="472"/>
      <c r="H150" s="472"/>
      <c r="I150" s="472"/>
      <c r="J150" s="472"/>
      <c r="K150" s="457"/>
      <c r="L150" s="472"/>
      <c r="M150" s="472"/>
      <c r="N150" s="472"/>
      <c r="O150" s="473"/>
      <c r="P150" s="473"/>
      <c r="Q150" s="473"/>
      <c r="R150" s="473"/>
      <c r="S150" s="473"/>
      <c r="T150" s="473"/>
      <c r="U150" s="473"/>
      <c r="V150" s="473"/>
      <c r="W150" s="473"/>
      <c r="X150" s="473"/>
      <c r="Y150" s="473"/>
      <c r="Z150" s="473"/>
    </row>
    <row r="151" spans="1:26" ht="18.75" customHeight="1">
      <c r="A151" s="472"/>
      <c r="B151" s="472"/>
      <c r="C151" s="472"/>
      <c r="D151" s="472"/>
      <c r="E151" s="472"/>
      <c r="F151" s="472"/>
      <c r="G151" s="472"/>
      <c r="H151" s="472"/>
      <c r="I151" s="472"/>
      <c r="J151" s="472"/>
      <c r="K151" s="457"/>
      <c r="L151" s="472"/>
      <c r="M151" s="472"/>
      <c r="N151" s="472"/>
      <c r="O151" s="473"/>
      <c r="P151" s="473"/>
      <c r="Q151" s="473"/>
      <c r="R151" s="473"/>
      <c r="S151" s="473"/>
      <c r="T151" s="473"/>
      <c r="U151" s="473"/>
      <c r="V151" s="473"/>
      <c r="W151" s="473"/>
      <c r="X151" s="473"/>
      <c r="Y151" s="473"/>
      <c r="Z151" s="473"/>
    </row>
    <row r="152" spans="1:26" ht="18.75" customHeight="1">
      <c r="A152" s="472"/>
      <c r="B152" s="472"/>
      <c r="C152" s="472"/>
      <c r="D152" s="472"/>
      <c r="E152" s="472"/>
      <c r="F152" s="472"/>
      <c r="G152" s="472"/>
      <c r="H152" s="472"/>
      <c r="I152" s="472"/>
      <c r="J152" s="472"/>
      <c r="K152" s="457"/>
      <c r="L152" s="472"/>
      <c r="M152" s="472"/>
      <c r="N152" s="472"/>
      <c r="O152" s="473"/>
      <c r="P152" s="473"/>
      <c r="Q152" s="473"/>
      <c r="R152" s="473"/>
      <c r="S152" s="473"/>
      <c r="T152" s="473"/>
      <c r="U152" s="473"/>
      <c r="V152" s="473"/>
      <c r="W152" s="473"/>
      <c r="X152" s="473"/>
      <c r="Y152" s="473"/>
      <c r="Z152" s="473"/>
    </row>
    <row r="153" spans="1:26" ht="18.75" customHeight="1">
      <c r="A153" s="472"/>
      <c r="B153" s="472"/>
      <c r="C153" s="472"/>
      <c r="D153" s="472"/>
      <c r="E153" s="472"/>
      <c r="F153" s="472"/>
      <c r="G153" s="472"/>
      <c r="H153" s="472"/>
      <c r="I153" s="472"/>
      <c r="J153" s="472"/>
      <c r="K153" s="457"/>
      <c r="L153" s="472"/>
      <c r="M153" s="472"/>
      <c r="N153" s="472"/>
      <c r="O153" s="473"/>
      <c r="P153" s="473"/>
      <c r="Q153" s="473"/>
      <c r="R153" s="473"/>
      <c r="S153" s="473"/>
      <c r="T153" s="473"/>
      <c r="U153" s="473"/>
      <c r="V153" s="473"/>
      <c r="W153" s="473"/>
      <c r="X153" s="473"/>
      <c r="Y153" s="473"/>
      <c r="Z153" s="473"/>
    </row>
    <row r="154" spans="1:26" ht="18.75" customHeight="1">
      <c r="A154" s="472"/>
      <c r="B154" s="472"/>
      <c r="C154" s="472"/>
      <c r="D154" s="472"/>
      <c r="E154" s="472"/>
      <c r="F154" s="472"/>
      <c r="G154" s="472"/>
      <c r="H154" s="472"/>
      <c r="I154" s="472"/>
      <c r="J154" s="472"/>
      <c r="K154" s="457"/>
      <c r="L154" s="472"/>
      <c r="M154" s="472"/>
      <c r="N154" s="472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3"/>
    </row>
    <row r="155" spans="1:26" ht="18.75" customHeight="1">
      <c r="A155" s="472"/>
      <c r="B155" s="472"/>
      <c r="C155" s="472"/>
      <c r="D155" s="472"/>
      <c r="E155" s="472"/>
      <c r="F155" s="472"/>
      <c r="G155" s="472"/>
      <c r="H155" s="472"/>
      <c r="I155" s="472"/>
      <c r="J155" s="472"/>
      <c r="K155" s="457"/>
      <c r="L155" s="472"/>
      <c r="M155" s="472"/>
      <c r="N155" s="472"/>
      <c r="O155" s="473"/>
      <c r="P155" s="473"/>
      <c r="Q155" s="473"/>
      <c r="R155" s="473"/>
      <c r="S155" s="473"/>
      <c r="T155" s="473"/>
      <c r="U155" s="473"/>
      <c r="V155" s="473"/>
      <c r="W155" s="473"/>
      <c r="X155" s="473"/>
      <c r="Y155" s="473"/>
      <c r="Z155" s="473"/>
    </row>
    <row r="156" spans="1:26" ht="18.75" customHeight="1">
      <c r="A156" s="472"/>
      <c r="B156" s="472"/>
      <c r="C156" s="472"/>
      <c r="D156" s="472"/>
      <c r="E156" s="472"/>
      <c r="F156" s="472"/>
      <c r="G156" s="472"/>
      <c r="H156" s="472"/>
      <c r="I156" s="472"/>
      <c r="J156" s="472"/>
      <c r="K156" s="457"/>
      <c r="L156" s="472"/>
      <c r="M156" s="472"/>
      <c r="N156" s="472"/>
      <c r="O156" s="473"/>
      <c r="P156" s="473"/>
      <c r="Q156" s="473"/>
      <c r="R156" s="473"/>
      <c r="S156" s="473"/>
      <c r="T156" s="473"/>
      <c r="U156" s="473"/>
      <c r="V156" s="473"/>
      <c r="W156" s="473"/>
      <c r="X156" s="473"/>
      <c r="Y156" s="473"/>
      <c r="Z156" s="473"/>
    </row>
    <row r="157" spans="1:26" ht="18.75" customHeight="1">
      <c r="A157" s="472"/>
      <c r="B157" s="472"/>
      <c r="C157" s="472"/>
      <c r="D157" s="472"/>
      <c r="E157" s="472"/>
      <c r="F157" s="472"/>
      <c r="G157" s="472"/>
      <c r="H157" s="472"/>
      <c r="I157" s="472"/>
      <c r="J157" s="472"/>
      <c r="K157" s="457"/>
      <c r="L157" s="472"/>
      <c r="M157" s="472"/>
      <c r="N157" s="472"/>
      <c r="O157" s="473"/>
      <c r="P157" s="473"/>
      <c r="Q157" s="473"/>
      <c r="R157" s="473"/>
      <c r="S157" s="473"/>
      <c r="T157" s="473"/>
      <c r="U157" s="473"/>
      <c r="V157" s="473"/>
      <c r="W157" s="473"/>
      <c r="X157" s="473"/>
      <c r="Y157" s="473"/>
      <c r="Z157" s="473"/>
    </row>
    <row r="158" spans="1:26" ht="18.75" customHeight="1">
      <c r="A158" s="472"/>
      <c r="B158" s="472"/>
      <c r="C158" s="472"/>
      <c r="D158" s="472"/>
      <c r="E158" s="472"/>
      <c r="F158" s="472"/>
      <c r="G158" s="472"/>
      <c r="H158" s="472"/>
      <c r="I158" s="472"/>
      <c r="J158" s="472"/>
      <c r="K158" s="457"/>
      <c r="L158" s="472"/>
      <c r="M158" s="472"/>
      <c r="N158" s="472"/>
      <c r="O158" s="473"/>
      <c r="P158" s="473"/>
      <c r="Q158" s="473"/>
      <c r="R158" s="473"/>
      <c r="S158" s="473"/>
      <c r="T158" s="473"/>
      <c r="U158" s="473"/>
      <c r="V158" s="473"/>
      <c r="W158" s="473"/>
      <c r="X158" s="473"/>
      <c r="Y158" s="473"/>
      <c r="Z158" s="473"/>
    </row>
    <row r="159" spans="1:26" ht="18.75" customHeight="1">
      <c r="A159" s="472"/>
      <c r="B159" s="472"/>
      <c r="C159" s="472"/>
      <c r="D159" s="472"/>
      <c r="E159" s="472"/>
      <c r="F159" s="472"/>
      <c r="G159" s="472"/>
      <c r="H159" s="472"/>
      <c r="I159" s="472"/>
      <c r="J159" s="472"/>
      <c r="K159" s="457"/>
      <c r="L159" s="472"/>
      <c r="M159" s="472"/>
      <c r="N159" s="472"/>
      <c r="O159" s="473"/>
      <c r="P159" s="473"/>
      <c r="Q159" s="473"/>
      <c r="R159" s="473"/>
      <c r="S159" s="473"/>
      <c r="T159" s="473"/>
      <c r="U159" s="473"/>
      <c r="V159" s="473"/>
      <c r="W159" s="473"/>
      <c r="X159" s="473"/>
      <c r="Y159" s="473"/>
      <c r="Z159" s="473"/>
    </row>
    <row r="160" spans="1:26" ht="18.75" customHeight="1">
      <c r="A160" s="472"/>
      <c r="B160" s="472"/>
      <c r="C160" s="472"/>
      <c r="D160" s="472"/>
      <c r="E160" s="472"/>
      <c r="F160" s="472"/>
      <c r="G160" s="472"/>
      <c r="H160" s="472"/>
      <c r="I160" s="472"/>
      <c r="J160" s="472"/>
      <c r="K160" s="457"/>
      <c r="L160" s="472"/>
      <c r="M160" s="472"/>
      <c r="N160" s="472"/>
      <c r="O160" s="473"/>
      <c r="P160" s="473"/>
      <c r="Q160" s="473"/>
      <c r="R160" s="473"/>
      <c r="S160" s="473"/>
      <c r="T160" s="473"/>
      <c r="U160" s="473"/>
      <c r="V160" s="473"/>
      <c r="W160" s="473"/>
      <c r="X160" s="473"/>
      <c r="Y160" s="473"/>
      <c r="Z160" s="473"/>
    </row>
    <row r="161" spans="1:26" ht="18.75" customHeight="1">
      <c r="A161" s="472"/>
      <c r="B161" s="472"/>
      <c r="C161" s="472"/>
      <c r="D161" s="472"/>
      <c r="E161" s="472"/>
      <c r="F161" s="472"/>
      <c r="G161" s="472"/>
      <c r="H161" s="472"/>
      <c r="I161" s="472"/>
      <c r="J161" s="472"/>
      <c r="K161" s="457"/>
      <c r="L161" s="472"/>
      <c r="M161" s="472"/>
      <c r="N161" s="472"/>
      <c r="O161" s="473"/>
      <c r="P161" s="473"/>
      <c r="Q161" s="473"/>
      <c r="R161" s="473"/>
      <c r="S161" s="473"/>
      <c r="T161" s="473"/>
      <c r="U161" s="473"/>
      <c r="V161" s="473"/>
      <c r="W161" s="473"/>
      <c r="X161" s="473"/>
      <c r="Y161" s="473"/>
      <c r="Z161" s="473"/>
    </row>
    <row r="162" spans="1:26" ht="18.75" customHeight="1">
      <c r="A162" s="472"/>
      <c r="B162" s="472"/>
      <c r="C162" s="472"/>
      <c r="D162" s="472"/>
      <c r="E162" s="472"/>
      <c r="F162" s="472"/>
      <c r="G162" s="472"/>
      <c r="H162" s="472"/>
      <c r="I162" s="472"/>
      <c r="J162" s="472"/>
      <c r="K162" s="457"/>
      <c r="L162" s="472"/>
      <c r="M162" s="472"/>
      <c r="N162" s="472"/>
      <c r="O162" s="473"/>
      <c r="P162" s="473"/>
      <c r="Q162" s="473"/>
      <c r="R162" s="473"/>
      <c r="S162" s="473"/>
      <c r="T162" s="473"/>
      <c r="U162" s="473"/>
      <c r="V162" s="473"/>
      <c r="W162" s="473"/>
      <c r="X162" s="473"/>
      <c r="Y162" s="473"/>
      <c r="Z162" s="473"/>
    </row>
    <row r="163" spans="1:26" ht="18.75" customHeight="1">
      <c r="A163" s="472"/>
      <c r="B163" s="472"/>
      <c r="C163" s="472"/>
      <c r="D163" s="472"/>
      <c r="E163" s="472"/>
      <c r="F163" s="472"/>
      <c r="G163" s="472"/>
      <c r="H163" s="472"/>
      <c r="I163" s="472"/>
      <c r="J163" s="472"/>
      <c r="K163" s="457"/>
      <c r="L163" s="472"/>
      <c r="M163" s="472"/>
      <c r="N163" s="472"/>
      <c r="O163" s="473"/>
      <c r="P163" s="473"/>
      <c r="Q163" s="473"/>
      <c r="R163" s="473"/>
      <c r="S163" s="473"/>
      <c r="T163" s="473"/>
      <c r="U163" s="473"/>
      <c r="V163" s="473"/>
      <c r="W163" s="473"/>
      <c r="X163" s="473"/>
      <c r="Y163" s="473"/>
      <c r="Z163" s="473"/>
    </row>
    <row r="164" spans="1:26" ht="18.75" customHeight="1">
      <c r="A164" s="472"/>
      <c r="B164" s="472"/>
      <c r="C164" s="472"/>
      <c r="D164" s="472"/>
      <c r="E164" s="472"/>
      <c r="F164" s="472"/>
      <c r="G164" s="472"/>
      <c r="H164" s="472"/>
      <c r="I164" s="472"/>
      <c r="J164" s="472"/>
      <c r="K164" s="457"/>
      <c r="L164" s="472"/>
      <c r="M164" s="472"/>
      <c r="N164" s="472"/>
      <c r="O164" s="473"/>
      <c r="P164" s="473"/>
      <c r="Q164" s="473"/>
      <c r="R164" s="473"/>
      <c r="S164" s="473"/>
      <c r="T164" s="473"/>
      <c r="U164" s="473"/>
      <c r="V164" s="473"/>
      <c r="W164" s="473"/>
      <c r="X164" s="473"/>
      <c r="Y164" s="473"/>
      <c r="Z164" s="473"/>
    </row>
    <row r="165" spans="1:26" ht="18.75" customHeight="1">
      <c r="A165" s="472"/>
      <c r="B165" s="472"/>
      <c r="C165" s="472"/>
      <c r="D165" s="472"/>
      <c r="E165" s="472"/>
      <c r="F165" s="472"/>
      <c r="G165" s="472"/>
      <c r="H165" s="472"/>
      <c r="I165" s="472"/>
      <c r="J165" s="472"/>
      <c r="K165" s="457"/>
      <c r="L165" s="472"/>
      <c r="M165" s="472"/>
      <c r="N165" s="472"/>
      <c r="O165" s="473"/>
      <c r="P165" s="473"/>
      <c r="Q165" s="473"/>
      <c r="R165" s="473"/>
      <c r="S165" s="473"/>
      <c r="T165" s="473"/>
      <c r="U165" s="473"/>
      <c r="V165" s="473"/>
      <c r="W165" s="473"/>
      <c r="X165" s="473"/>
      <c r="Y165" s="473"/>
      <c r="Z165" s="473"/>
    </row>
    <row r="166" spans="1:26" ht="18.75" customHeight="1">
      <c r="A166" s="472"/>
      <c r="B166" s="472"/>
      <c r="C166" s="472"/>
      <c r="D166" s="472"/>
      <c r="E166" s="472"/>
      <c r="F166" s="472"/>
      <c r="G166" s="472"/>
      <c r="H166" s="472"/>
      <c r="I166" s="472"/>
      <c r="J166" s="472"/>
      <c r="K166" s="457"/>
      <c r="L166" s="472"/>
      <c r="M166" s="472"/>
      <c r="N166" s="472"/>
      <c r="O166" s="473"/>
      <c r="P166" s="473"/>
      <c r="Q166" s="473"/>
      <c r="R166" s="473"/>
      <c r="S166" s="473"/>
      <c r="T166" s="473"/>
      <c r="U166" s="473"/>
      <c r="V166" s="473"/>
      <c r="W166" s="473"/>
      <c r="X166" s="473"/>
      <c r="Y166" s="473"/>
      <c r="Z166" s="473"/>
    </row>
    <row r="167" spans="1:26" ht="18.75" customHeight="1">
      <c r="A167" s="472"/>
      <c r="B167" s="472"/>
      <c r="C167" s="472"/>
      <c r="D167" s="472"/>
      <c r="E167" s="472"/>
      <c r="F167" s="472"/>
      <c r="G167" s="472"/>
      <c r="H167" s="472"/>
      <c r="I167" s="472"/>
      <c r="J167" s="472"/>
      <c r="K167" s="457"/>
      <c r="L167" s="472"/>
      <c r="M167" s="472"/>
      <c r="N167" s="472"/>
      <c r="O167" s="473"/>
      <c r="P167" s="473"/>
      <c r="Q167" s="473"/>
      <c r="R167" s="473"/>
      <c r="S167" s="473"/>
      <c r="T167" s="473"/>
      <c r="U167" s="473"/>
      <c r="V167" s="473"/>
      <c r="W167" s="473"/>
      <c r="X167" s="473"/>
      <c r="Y167" s="473"/>
      <c r="Z167" s="473"/>
    </row>
    <row r="168" spans="1:26" ht="18.75" customHeight="1">
      <c r="A168" s="472"/>
      <c r="B168" s="472"/>
      <c r="C168" s="472"/>
      <c r="D168" s="472"/>
      <c r="E168" s="472"/>
      <c r="F168" s="472"/>
      <c r="G168" s="472"/>
      <c r="H168" s="472"/>
      <c r="I168" s="472"/>
      <c r="J168" s="472"/>
      <c r="K168" s="457"/>
      <c r="L168" s="472"/>
      <c r="M168" s="472"/>
      <c r="N168" s="472"/>
      <c r="O168" s="473"/>
      <c r="P168" s="473"/>
      <c r="Q168" s="473"/>
      <c r="R168" s="473"/>
      <c r="S168" s="473"/>
      <c r="T168" s="473"/>
      <c r="U168" s="473"/>
      <c r="V168" s="473"/>
      <c r="W168" s="473"/>
      <c r="X168" s="473"/>
      <c r="Y168" s="473"/>
      <c r="Z168" s="473"/>
    </row>
    <row r="169" spans="1:26" ht="18.75" customHeight="1">
      <c r="A169" s="472"/>
      <c r="B169" s="472"/>
      <c r="C169" s="472"/>
      <c r="D169" s="472"/>
      <c r="E169" s="472"/>
      <c r="F169" s="472"/>
      <c r="G169" s="472"/>
      <c r="H169" s="472"/>
      <c r="I169" s="472"/>
      <c r="J169" s="472"/>
      <c r="K169" s="457"/>
      <c r="L169" s="472"/>
      <c r="M169" s="472"/>
      <c r="N169" s="472"/>
      <c r="O169" s="473"/>
      <c r="P169" s="473"/>
      <c r="Q169" s="473"/>
      <c r="R169" s="473"/>
      <c r="S169" s="473"/>
      <c r="T169" s="473"/>
      <c r="U169" s="473"/>
      <c r="V169" s="473"/>
      <c r="W169" s="473"/>
      <c r="X169" s="473"/>
      <c r="Y169" s="473"/>
      <c r="Z169" s="473"/>
    </row>
    <row r="170" spans="1:26" ht="18.75" customHeight="1">
      <c r="A170" s="472"/>
      <c r="B170" s="472"/>
      <c r="C170" s="472"/>
      <c r="D170" s="472"/>
      <c r="E170" s="472"/>
      <c r="F170" s="472"/>
      <c r="G170" s="472"/>
      <c r="H170" s="472"/>
      <c r="I170" s="472"/>
      <c r="J170" s="472"/>
      <c r="K170" s="457"/>
      <c r="L170" s="472"/>
      <c r="M170" s="472"/>
      <c r="N170" s="472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3"/>
    </row>
    <row r="171" spans="1:26" ht="18.75" customHeight="1">
      <c r="A171" s="472"/>
      <c r="B171" s="472"/>
      <c r="C171" s="472"/>
      <c r="D171" s="472"/>
      <c r="E171" s="472"/>
      <c r="F171" s="472"/>
      <c r="G171" s="472"/>
      <c r="H171" s="472"/>
      <c r="I171" s="472"/>
      <c r="J171" s="472"/>
      <c r="K171" s="457"/>
      <c r="L171" s="472"/>
      <c r="M171" s="472"/>
      <c r="N171" s="472"/>
      <c r="O171" s="473"/>
      <c r="P171" s="473"/>
      <c r="Q171" s="473"/>
      <c r="R171" s="473"/>
      <c r="S171" s="473"/>
      <c r="T171" s="473"/>
      <c r="U171" s="473"/>
      <c r="V171" s="473"/>
      <c r="W171" s="473"/>
      <c r="X171" s="473"/>
      <c r="Y171" s="473"/>
      <c r="Z171" s="473"/>
    </row>
    <row r="172" spans="1:26" ht="18.75" customHeight="1">
      <c r="A172" s="472"/>
      <c r="B172" s="472"/>
      <c r="C172" s="472"/>
      <c r="D172" s="472"/>
      <c r="E172" s="472"/>
      <c r="F172" s="472"/>
      <c r="G172" s="472"/>
      <c r="H172" s="472"/>
      <c r="I172" s="472"/>
      <c r="J172" s="472"/>
      <c r="K172" s="457"/>
      <c r="L172" s="472"/>
      <c r="M172" s="472"/>
      <c r="N172" s="472"/>
      <c r="O172" s="473"/>
      <c r="P172" s="473"/>
      <c r="Q172" s="473"/>
      <c r="R172" s="473"/>
      <c r="S172" s="473"/>
      <c r="T172" s="473"/>
      <c r="U172" s="473"/>
      <c r="V172" s="473"/>
      <c r="W172" s="473"/>
      <c r="X172" s="473"/>
      <c r="Y172" s="473"/>
      <c r="Z172" s="473"/>
    </row>
    <row r="173" spans="1:26" ht="18.75" customHeight="1">
      <c r="A173" s="472"/>
      <c r="B173" s="472"/>
      <c r="C173" s="472"/>
      <c r="D173" s="472"/>
      <c r="E173" s="472"/>
      <c r="F173" s="472"/>
      <c r="G173" s="472"/>
      <c r="H173" s="472"/>
      <c r="I173" s="472"/>
      <c r="J173" s="472"/>
      <c r="K173" s="457"/>
      <c r="L173" s="472"/>
      <c r="M173" s="472"/>
      <c r="N173" s="472"/>
      <c r="O173" s="473"/>
      <c r="P173" s="473"/>
      <c r="Q173" s="473"/>
      <c r="R173" s="473"/>
      <c r="S173" s="473"/>
      <c r="T173" s="473"/>
      <c r="U173" s="473"/>
      <c r="V173" s="473"/>
      <c r="W173" s="473"/>
      <c r="X173" s="473"/>
      <c r="Y173" s="473"/>
      <c r="Z173" s="473"/>
    </row>
    <row r="174" spans="1:26" ht="18.75" customHeight="1">
      <c r="A174" s="472"/>
      <c r="B174" s="472"/>
      <c r="C174" s="472"/>
      <c r="D174" s="472"/>
      <c r="E174" s="472"/>
      <c r="F174" s="472"/>
      <c r="G174" s="472"/>
      <c r="H174" s="472"/>
      <c r="I174" s="472"/>
      <c r="J174" s="472"/>
      <c r="K174" s="457"/>
      <c r="L174" s="472"/>
      <c r="M174" s="472"/>
      <c r="N174" s="472"/>
      <c r="O174" s="473"/>
      <c r="P174" s="473"/>
      <c r="Q174" s="473"/>
      <c r="R174" s="473"/>
      <c r="S174" s="473"/>
      <c r="T174" s="473"/>
      <c r="U174" s="473"/>
      <c r="V174" s="473"/>
      <c r="W174" s="473"/>
      <c r="X174" s="473"/>
      <c r="Y174" s="473"/>
      <c r="Z174" s="473"/>
    </row>
    <row r="175" spans="1:26" ht="18.75" customHeight="1">
      <c r="A175" s="472"/>
      <c r="B175" s="472"/>
      <c r="C175" s="472"/>
      <c r="D175" s="472"/>
      <c r="E175" s="472"/>
      <c r="F175" s="472"/>
      <c r="G175" s="472"/>
      <c r="H175" s="472"/>
      <c r="I175" s="472"/>
      <c r="J175" s="472"/>
      <c r="K175" s="457"/>
      <c r="L175" s="472"/>
      <c r="M175" s="472"/>
      <c r="N175" s="472"/>
      <c r="O175" s="473"/>
      <c r="P175" s="473"/>
      <c r="Q175" s="473"/>
      <c r="R175" s="473"/>
      <c r="S175" s="473"/>
      <c r="T175" s="473"/>
      <c r="U175" s="473"/>
      <c r="V175" s="473"/>
      <c r="W175" s="473"/>
      <c r="X175" s="473"/>
      <c r="Y175" s="473"/>
      <c r="Z175" s="473"/>
    </row>
    <row r="176" spans="1:26" ht="18.75" customHeight="1">
      <c r="A176" s="472"/>
      <c r="B176" s="472"/>
      <c r="C176" s="472"/>
      <c r="D176" s="472"/>
      <c r="E176" s="472"/>
      <c r="F176" s="472"/>
      <c r="G176" s="472"/>
      <c r="H176" s="472"/>
      <c r="I176" s="472"/>
      <c r="J176" s="472"/>
      <c r="K176" s="457"/>
      <c r="L176" s="472"/>
      <c r="M176" s="472"/>
      <c r="N176" s="472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</row>
    <row r="177" spans="1:26" ht="18.75" customHeight="1">
      <c r="A177" s="472"/>
      <c r="B177" s="472"/>
      <c r="C177" s="472"/>
      <c r="D177" s="472"/>
      <c r="E177" s="472"/>
      <c r="F177" s="472"/>
      <c r="G177" s="472"/>
      <c r="H177" s="472"/>
      <c r="I177" s="472"/>
      <c r="J177" s="472"/>
      <c r="K177" s="457"/>
      <c r="L177" s="472"/>
      <c r="M177" s="472"/>
      <c r="N177" s="472"/>
      <c r="O177" s="473"/>
      <c r="P177" s="473"/>
      <c r="Q177" s="473"/>
      <c r="R177" s="473"/>
      <c r="S177" s="473"/>
      <c r="T177" s="473"/>
      <c r="U177" s="473"/>
      <c r="V177" s="473"/>
      <c r="W177" s="473"/>
      <c r="X177" s="473"/>
      <c r="Y177" s="473"/>
      <c r="Z177" s="473"/>
    </row>
    <row r="178" spans="1:26" ht="18.75" customHeight="1">
      <c r="A178" s="472"/>
      <c r="B178" s="472"/>
      <c r="C178" s="472"/>
      <c r="D178" s="472"/>
      <c r="E178" s="472"/>
      <c r="F178" s="472"/>
      <c r="G178" s="472"/>
      <c r="H178" s="472"/>
      <c r="I178" s="472"/>
      <c r="J178" s="472"/>
      <c r="K178" s="457"/>
      <c r="L178" s="472"/>
      <c r="M178" s="472"/>
      <c r="N178" s="472"/>
      <c r="O178" s="473"/>
      <c r="P178" s="473"/>
      <c r="Q178" s="473"/>
      <c r="R178" s="473"/>
      <c r="S178" s="473"/>
      <c r="T178" s="473"/>
      <c r="U178" s="473"/>
      <c r="V178" s="473"/>
      <c r="W178" s="473"/>
      <c r="X178" s="473"/>
      <c r="Y178" s="473"/>
      <c r="Z178" s="473"/>
    </row>
    <row r="179" spans="1:26" ht="18.75" customHeight="1">
      <c r="A179" s="472"/>
      <c r="B179" s="472"/>
      <c r="C179" s="472"/>
      <c r="D179" s="472"/>
      <c r="E179" s="472"/>
      <c r="F179" s="472"/>
      <c r="G179" s="472"/>
      <c r="H179" s="472"/>
      <c r="I179" s="472"/>
      <c r="J179" s="472"/>
      <c r="K179" s="457"/>
      <c r="L179" s="472"/>
      <c r="M179" s="472"/>
      <c r="N179" s="472"/>
      <c r="O179" s="473"/>
      <c r="P179" s="473"/>
      <c r="Q179" s="473"/>
      <c r="R179" s="473"/>
      <c r="S179" s="473"/>
      <c r="T179" s="473"/>
      <c r="U179" s="473"/>
      <c r="V179" s="473"/>
      <c r="W179" s="473"/>
      <c r="X179" s="473"/>
      <c r="Y179" s="473"/>
      <c r="Z179" s="473"/>
    </row>
    <row r="180" spans="1:26" ht="18.75" customHeight="1">
      <c r="A180" s="472"/>
      <c r="B180" s="472"/>
      <c r="C180" s="472"/>
      <c r="D180" s="472"/>
      <c r="E180" s="472"/>
      <c r="F180" s="472"/>
      <c r="G180" s="472"/>
      <c r="H180" s="472"/>
      <c r="I180" s="472"/>
      <c r="J180" s="472"/>
      <c r="K180" s="457"/>
      <c r="L180" s="472"/>
      <c r="M180" s="472"/>
      <c r="N180" s="472"/>
      <c r="O180" s="473"/>
      <c r="P180" s="473"/>
      <c r="Q180" s="473"/>
      <c r="R180" s="473"/>
      <c r="S180" s="473"/>
      <c r="T180" s="473"/>
      <c r="U180" s="473"/>
      <c r="V180" s="473"/>
      <c r="W180" s="473"/>
      <c r="X180" s="473"/>
      <c r="Y180" s="473"/>
      <c r="Z180" s="473"/>
    </row>
    <row r="181" spans="1:26" ht="18.75" customHeight="1">
      <c r="A181" s="472"/>
      <c r="B181" s="472"/>
      <c r="C181" s="472"/>
      <c r="D181" s="472"/>
      <c r="E181" s="472"/>
      <c r="F181" s="472"/>
      <c r="G181" s="472"/>
      <c r="H181" s="472"/>
      <c r="I181" s="472"/>
      <c r="J181" s="472"/>
      <c r="K181" s="457"/>
      <c r="L181" s="472"/>
      <c r="M181" s="472"/>
      <c r="N181" s="472"/>
      <c r="O181" s="473"/>
      <c r="P181" s="473"/>
      <c r="Q181" s="473"/>
      <c r="R181" s="473"/>
      <c r="S181" s="473"/>
      <c r="T181" s="473"/>
      <c r="U181" s="473"/>
      <c r="V181" s="473"/>
      <c r="W181" s="473"/>
      <c r="X181" s="473"/>
      <c r="Y181" s="473"/>
      <c r="Z181" s="473"/>
    </row>
    <row r="182" spans="1:26" ht="18.75" customHeight="1">
      <c r="A182" s="472"/>
      <c r="B182" s="472"/>
      <c r="C182" s="472"/>
      <c r="D182" s="472"/>
      <c r="E182" s="472"/>
      <c r="F182" s="472"/>
      <c r="G182" s="472"/>
      <c r="H182" s="472"/>
      <c r="I182" s="472"/>
      <c r="J182" s="472"/>
      <c r="K182" s="457"/>
      <c r="L182" s="472"/>
      <c r="M182" s="472"/>
      <c r="N182" s="472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473"/>
      <c r="Z182" s="473"/>
    </row>
    <row r="183" spans="1:26" ht="18.75" customHeight="1">
      <c r="A183" s="472"/>
      <c r="B183" s="472"/>
      <c r="C183" s="472"/>
      <c r="D183" s="472"/>
      <c r="E183" s="472"/>
      <c r="F183" s="472"/>
      <c r="G183" s="472"/>
      <c r="H183" s="472"/>
      <c r="I183" s="472"/>
      <c r="J183" s="472"/>
      <c r="K183" s="457"/>
      <c r="L183" s="472"/>
      <c r="M183" s="472"/>
      <c r="N183" s="472"/>
      <c r="O183" s="473"/>
      <c r="P183" s="473"/>
      <c r="Q183" s="473"/>
      <c r="R183" s="473"/>
      <c r="S183" s="473"/>
      <c r="T183" s="473"/>
      <c r="U183" s="473"/>
      <c r="V183" s="473"/>
      <c r="W183" s="473"/>
      <c r="X183" s="473"/>
      <c r="Y183" s="473"/>
      <c r="Z183" s="473"/>
    </row>
    <row r="184" spans="1:26" ht="18.75" customHeight="1">
      <c r="A184" s="472"/>
      <c r="B184" s="472"/>
      <c r="C184" s="472"/>
      <c r="D184" s="472"/>
      <c r="E184" s="472"/>
      <c r="F184" s="472"/>
      <c r="G184" s="472"/>
      <c r="H184" s="472"/>
      <c r="I184" s="472"/>
      <c r="J184" s="472"/>
      <c r="K184" s="457"/>
      <c r="L184" s="472"/>
      <c r="M184" s="472"/>
      <c r="N184" s="472"/>
      <c r="O184" s="473"/>
      <c r="P184" s="473"/>
      <c r="Q184" s="473"/>
      <c r="R184" s="473"/>
      <c r="S184" s="473"/>
      <c r="T184" s="473"/>
      <c r="U184" s="473"/>
      <c r="V184" s="473"/>
      <c r="W184" s="473"/>
      <c r="X184" s="473"/>
      <c r="Y184" s="473"/>
      <c r="Z184" s="473"/>
    </row>
    <row r="185" spans="1:26" ht="18.75" customHeight="1">
      <c r="A185" s="472"/>
      <c r="B185" s="472"/>
      <c r="C185" s="472"/>
      <c r="D185" s="472"/>
      <c r="E185" s="472"/>
      <c r="F185" s="472"/>
      <c r="G185" s="472"/>
      <c r="H185" s="472"/>
      <c r="I185" s="472"/>
      <c r="J185" s="472"/>
      <c r="K185" s="457"/>
      <c r="L185" s="472"/>
      <c r="M185" s="472"/>
      <c r="N185" s="472"/>
      <c r="O185" s="473"/>
      <c r="P185" s="473"/>
      <c r="Q185" s="473"/>
      <c r="R185" s="473"/>
      <c r="S185" s="473"/>
      <c r="T185" s="473"/>
      <c r="U185" s="473"/>
      <c r="V185" s="473"/>
      <c r="W185" s="473"/>
      <c r="X185" s="473"/>
      <c r="Y185" s="473"/>
      <c r="Z185" s="473"/>
    </row>
    <row r="186" spans="1:26" ht="18.75" customHeight="1">
      <c r="A186" s="472"/>
      <c r="B186" s="472"/>
      <c r="C186" s="472"/>
      <c r="D186" s="472"/>
      <c r="E186" s="472"/>
      <c r="F186" s="472"/>
      <c r="G186" s="472"/>
      <c r="H186" s="472"/>
      <c r="I186" s="472"/>
      <c r="J186" s="472"/>
      <c r="K186" s="457"/>
      <c r="L186" s="472"/>
      <c r="M186" s="472"/>
      <c r="N186" s="472"/>
      <c r="O186" s="473"/>
      <c r="P186" s="473"/>
      <c r="Q186" s="473"/>
      <c r="R186" s="473"/>
      <c r="S186" s="473"/>
      <c r="T186" s="473"/>
      <c r="U186" s="473"/>
      <c r="V186" s="473"/>
      <c r="W186" s="473"/>
      <c r="X186" s="473"/>
      <c r="Y186" s="473"/>
      <c r="Z186" s="473"/>
    </row>
    <row r="187" spans="1:26" ht="18.75" customHeight="1">
      <c r="A187" s="472"/>
      <c r="B187" s="472"/>
      <c r="C187" s="472"/>
      <c r="D187" s="472"/>
      <c r="E187" s="472"/>
      <c r="F187" s="472"/>
      <c r="G187" s="472"/>
      <c r="H187" s="472"/>
      <c r="I187" s="472"/>
      <c r="J187" s="472"/>
      <c r="K187" s="457"/>
      <c r="L187" s="472"/>
      <c r="M187" s="472"/>
      <c r="N187" s="472"/>
      <c r="O187" s="473"/>
      <c r="P187" s="473"/>
      <c r="Q187" s="473"/>
      <c r="R187" s="473"/>
      <c r="S187" s="473"/>
      <c r="T187" s="473"/>
      <c r="U187" s="473"/>
      <c r="V187" s="473"/>
      <c r="W187" s="473"/>
      <c r="X187" s="473"/>
      <c r="Y187" s="473"/>
      <c r="Z187" s="473"/>
    </row>
    <row r="188" spans="1:26" ht="18.75" customHeight="1">
      <c r="A188" s="472"/>
      <c r="B188" s="472"/>
      <c r="C188" s="472"/>
      <c r="D188" s="472"/>
      <c r="E188" s="472"/>
      <c r="F188" s="472"/>
      <c r="G188" s="472"/>
      <c r="H188" s="472"/>
      <c r="I188" s="472"/>
      <c r="J188" s="472"/>
      <c r="K188" s="457"/>
      <c r="L188" s="472"/>
      <c r="M188" s="472"/>
      <c r="N188" s="472"/>
      <c r="O188" s="473"/>
      <c r="P188" s="473"/>
      <c r="Q188" s="473"/>
      <c r="R188" s="473"/>
      <c r="S188" s="473"/>
      <c r="T188" s="473"/>
      <c r="U188" s="473"/>
      <c r="V188" s="473"/>
      <c r="W188" s="473"/>
      <c r="X188" s="473"/>
      <c r="Y188" s="473"/>
      <c r="Z188" s="473"/>
    </row>
    <row r="189" spans="1:26" ht="18.75" customHeight="1">
      <c r="A189" s="472"/>
      <c r="B189" s="472"/>
      <c r="C189" s="472"/>
      <c r="D189" s="472"/>
      <c r="E189" s="472"/>
      <c r="F189" s="472"/>
      <c r="G189" s="472"/>
      <c r="H189" s="472"/>
      <c r="I189" s="472"/>
      <c r="J189" s="472"/>
      <c r="K189" s="457"/>
      <c r="L189" s="472"/>
      <c r="M189" s="472"/>
      <c r="N189" s="472"/>
      <c r="O189" s="473"/>
      <c r="P189" s="473"/>
      <c r="Q189" s="473"/>
      <c r="R189" s="473"/>
      <c r="S189" s="473"/>
      <c r="T189" s="473"/>
      <c r="U189" s="473"/>
      <c r="V189" s="473"/>
      <c r="W189" s="473"/>
      <c r="X189" s="473"/>
      <c r="Y189" s="473"/>
      <c r="Z189" s="473"/>
    </row>
    <row r="190" spans="1:26" ht="18.75" customHeight="1">
      <c r="A190" s="472"/>
      <c r="B190" s="472"/>
      <c r="C190" s="472"/>
      <c r="D190" s="472"/>
      <c r="E190" s="472"/>
      <c r="F190" s="472"/>
      <c r="G190" s="472"/>
      <c r="H190" s="472"/>
      <c r="I190" s="472"/>
      <c r="J190" s="472"/>
      <c r="K190" s="457"/>
      <c r="L190" s="472"/>
      <c r="M190" s="472"/>
      <c r="N190" s="472"/>
      <c r="O190" s="473"/>
      <c r="P190" s="473"/>
      <c r="Q190" s="473"/>
      <c r="R190" s="473"/>
      <c r="S190" s="473"/>
      <c r="T190" s="473"/>
      <c r="U190" s="473"/>
      <c r="V190" s="473"/>
      <c r="W190" s="473"/>
      <c r="X190" s="473"/>
      <c r="Y190" s="473"/>
      <c r="Z190" s="473"/>
    </row>
    <row r="191" spans="1:26" ht="18.75" customHeight="1">
      <c r="A191" s="472"/>
      <c r="B191" s="472"/>
      <c r="C191" s="472"/>
      <c r="D191" s="472"/>
      <c r="E191" s="472"/>
      <c r="F191" s="472"/>
      <c r="G191" s="472"/>
      <c r="H191" s="472"/>
      <c r="I191" s="472"/>
      <c r="J191" s="472"/>
      <c r="K191" s="457"/>
      <c r="L191" s="472"/>
      <c r="M191" s="472"/>
      <c r="N191" s="472"/>
      <c r="O191" s="473"/>
      <c r="P191" s="473"/>
      <c r="Q191" s="473"/>
      <c r="R191" s="473"/>
      <c r="S191" s="473"/>
      <c r="T191" s="473"/>
      <c r="U191" s="473"/>
      <c r="V191" s="473"/>
      <c r="W191" s="473"/>
      <c r="X191" s="473"/>
      <c r="Y191" s="473"/>
      <c r="Z191" s="473"/>
    </row>
    <row r="192" spans="1:26" ht="18.75" customHeight="1">
      <c r="A192" s="472"/>
      <c r="B192" s="472"/>
      <c r="C192" s="472"/>
      <c r="D192" s="472"/>
      <c r="E192" s="472"/>
      <c r="F192" s="472"/>
      <c r="G192" s="472"/>
      <c r="H192" s="472"/>
      <c r="I192" s="472"/>
      <c r="J192" s="472"/>
      <c r="K192" s="457"/>
      <c r="L192" s="472"/>
      <c r="M192" s="472"/>
      <c r="N192" s="472"/>
      <c r="O192" s="473"/>
      <c r="P192" s="473"/>
      <c r="Q192" s="473"/>
      <c r="R192" s="473"/>
      <c r="S192" s="473"/>
      <c r="T192" s="473"/>
      <c r="U192" s="473"/>
      <c r="V192" s="473"/>
      <c r="W192" s="473"/>
      <c r="X192" s="473"/>
      <c r="Y192" s="473"/>
      <c r="Z192" s="473"/>
    </row>
    <row r="193" spans="1:26" ht="18.75" customHeight="1">
      <c r="A193" s="472"/>
      <c r="B193" s="472"/>
      <c r="C193" s="472"/>
      <c r="D193" s="472"/>
      <c r="E193" s="472"/>
      <c r="F193" s="472"/>
      <c r="G193" s="472"/>
      <c r="H193" s="472"/>
      <c r="I193" s="472"/>
      <c r="J193" s="472"/>
      <c r="K193" s="457"/>
      <c r="L193" s="472"/>
      <c r="M193" s="472"/>
      <c r="N193" s="472"/>
      <c r="O193" s="473"/>
      <c r="P193" s="473"/>
      <c r="Q193" s="473"/>
      <c r="R193" s="473"/>
      <c r="S193" s="473"/>
      <c r="T193" s="473"/>
      <c r="U193" s="473"/>
      <c r="V193" s="473"/>
      <c r="W193" s="473"/>
      <c r="X193" s="473"/>
      <c r="Y193" s="473"/>
      <c r="Z193" s="473"/>
    </row>
    <row r="194" spans="1:26" ht="18.75" customHeight="1">
      <c r="A194" s="472"/>
      <c r="B194" s="472"/>
      <c r="C194" s="472"/>
      <c r="D194" s="472"/>
      <c r="E194" s="472"/>
      <c r="F194" s="472"/>
      <c r="G194" s="472"/>
      <c r="H194" s="472"/>
      <c r="I194" s="472"/>
      <c r="J194" s="472"/>
      <c r="K194" s="457"/>
      <c r="L194" s="472"/>
      <c r="M194" s="472"/>
      <c r="N194" s="472"/>
      <c r="O194" s="473"/>
      <c r="P194" s="473"/>
      <c r="Q194" s="473"/>
      <c r="R194" s="473"/>
      <c r="S194" s="473"/>
      <c r="T194" s="473"/>
      <c r="U194" s="473"/>
      <c r="V194" s="473"/>
      <c r="W194" s="473"/>
      <c r="X194" s="473"/>
      <c r="Y194" s="473"/>
      <c r="Z194" s="473"/>
    </row>
    <row r="195" spans="1:26" ht="18.75" customHeight="1">
      <c r="A195" s="472"/>
      <c r="B195" s="472"/>
      <c r="C195" s="472"/>
      <c r="D195" s="472"/>
      <c r="E195" s="472"/>
      <c r="F195" s="472"/>
      <c r="G195" s="472"/>
      <c r="H195" s="472"/>
      <c r="I195" s="472"/>
      <c r="J195" s="472"/>
      <c r="K195" s="457"/>
      <c r="L195" s="472"/>
      <c r="M195" s="472"/>
      <c r="N195" s="472"/>
      <c r="O195" s="473"/>
      <c r="P195" s="473"/>
      <c r="Q195" s="473"/>
      <c r="R195" s="473"/>
      <c r="S195" s="473"/>
      <c r="T195" s="473"/>
      <c r="U195" s="473"/>
      <c r="V195" s="473"/>
      <c r="W195" s="473"/>
      <c r="X195" s="473"/>
      <c r="Y195" s="473"/>
      <c r="Z195" s="473"/>
    </row>
    <row r="196" spans="1:26" ht="18.75" customHeight="1">
      <c r="A196" s="472"/>
      <c r="B196" s="472"/>
      <c r="C196" s="472"/>
      <c r="D196" s="472"/>
      <c r="E196" s="472"/>
      <c r="F196" s="472"/>
      <c r="G196" s="472"/>
      <c r="H196" s="472"/>
      <c r="I196" s="472"/>
      <c r="J196" s="472"/>
      <c r="K196" s="457"/>
      <c r="L196" s="472"/>
      <c r="M196" s="472"/>
      <c r="N196" s="472"/>
      <c r="O196" s="473"/>
      <c r="P196" s="473"/>
      <c r="Q196" s="473"/>
      <c r="R196" s="473"/>
      <c r="S196" s="473"/>
      <c r="T196" s="473"/>
      <c r="U196" s="473"/>
      <c r="V196" s="473"/>
      <c r="W196" s="473"/>
      <c r="X196" s="473"/>
      <c r="Y196" s="473"/>
      <c r="Z196" s="473"/>
    </row>
    <row r="197" spans="1:26" ht="18.75" customHeight="1">
      <c r="A197" s="472"/>
      <c r="B197" s="472"/>
      <c r="C197" s="472"/>
      <c r="D197" s="472"/>
      <c r="E197" s="472"/>
      <c r="F197" s="472"/>
      <c r="G197" s="472"/>
      <c r="H197" s="472"/>
      <c r="I197" s="472"/>
      <c r="J197" s="472"/>
      <c r="K197" s="457"/>
      <c r="L197" s="472"/>
      <c r="M197" s="472"/>
      <c r="N197" s="472"/>
      <c r="O197" s="473"/>
      <c r="P197" s="473"/>
      <c r="Q197" s="473"/>
      <c r="R197" s="473"/>
      <c r="S197" s="473"/>
      <c r="T197" s="473"/>
      <c r="U197" s="473"/>
      <c r="V197" s="473"/>
      <c r="W197" s="473"/>
      <c r="X197" s="473"/>
      <c r="Y197" s="473"/>
      <c r="Z197" s="473"/>
    </row>
    <row r="198" spans="1:26" ht="18.75" customHeight="1">
      <c r="A198" s="472"/>
      <c r="B198" s="472"/>
      <c r="C198" s="472"/>
      <c r="D198" s="472"/>
      <c r="E198" s="472"/>
      <c r="F198" s="472"/>
      <c r="G198" s="472"/>
      <c r="H198" s="472"/>
      <c r="I198" s="472"/>
      <c r="J198" s="472"/>
      <c r="K198" s="457"/>
      <c r="L198" s="472"/>
      <c r="M198" s="472"/>
      <c r="N198" s="472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3"/>
    </row>
    <row r="199" spans="1:26" ht="18.75" customHeight="1">
      <c r="A199" s="472"/>
      <c r="B199" s="472"/>
      <c r="C199" s="472"/>
      <c r="D199" s="472"/>
      <c r="E199" s="472"/>
      <c r="F199" s="472"/>
      <c r="G199" s="472"/>
      <c r="H199" s="472"/>
      <c r="I199" s="472"/>
      <c r="J199" s="472"/>
      <c r="K199" s="457"/>
      <c r="L199" s="472"/>
      <c r="M199" s="472"/>
      <c r="N199" s="472"/>
      <c r="O199" s="473"/>
      <c r="P199" s="473"/>
      <c r="Q199" s="473"/>
      <c r="R199" s="473"/>
      <c r="S199" s="473"/>
      <c r="T199" s="473"/>
      <c r="U199" s="473"/>
      <c r="V199" s="473"/>
      <c r="W199" s="473"/>
      <c r="X199" s="473"/>
      <c r="Y199" s="473"/>
      <c r="Z199" s="473"/>
    </row>
    <row r="200" spans="1:26" ht="18.75" customHeight="1">
      <c r="A200" s="472"/>
      <c r="B200" s="472"/>
      <c r="C200" s="472"/>
      <c r="D200" s="472"/>
      <c r="E200" s="472"/>
      <c r="F200" s="472"/>
      <c r="G200" s="472"/>
      <c r="H200" s="472"/>
      <c r="I200" s="472"/>
      <c r="J200" s="472"/>
      <c r="K200" s="457"/>
      <c r="L200" s="472"/>
      <c r="M200" s="472"/>
      <c r="N200" s="472"/>
      <c r="O200" s="473"/>
      <c r="P200" s="473"/>
      <c r="Q200" s="473"/>
      <c r="R200" s="473"/>
      <c r="S200" s="473"/>
      <c r="T200" s="473"/>
      <c r="U200" s="473"/>
      <c r="V200" s="473"/>
      <c r="W200" s="473"/>
      <c r="X200" s="473"/>
      <c r="Y200" s="473"/>
      <c r="Z200" s="473"/>
    </row>
    <row r="201" spans="1:26" ht="18.75" customHeight="1">
      <c r="A201" s="472"/>
      <c r="B201" s="472"/>
      <c r="C201" s="472"/>
      <c r="D201" s="472"/>
      <c r="E201" s="472"/>
      <c r="F201" s="472"/>
      <c r="G201" s="472"/>
      <c r="H201" s="472"/>
      <c r="I201" s="472"/>
      <c r="J201" s="472"/>
      <c r="K201" s="457"/>
      <c r="L201" s="472"/>
      <c r="M201" s="472"/>
      <c r="N201" s="472"/>
      <c r="O201" s="473"/>
      <c r="P201" s="473"/>
      <c r="Q201" s="473"/>
      <c r="R201" s="473"/>
      <c r="S201" s="473"/>
      <c r="T201" s="473"/>
      <c r="U201" s="473"/>
      <c r="V201" s="473"/>
      <c r="W201" s="473"/>
      <c r="X201" s="473"/>
      <c r="Y201" s="473"/>
      <c r="Z201" s="473"/>
    </row>
    <row r="202" spans="1:26" ht="18.75" customHeight="1">
      <c r="A202" s="472"/>
      <c r="B202" s="472"/>
      <c r="C202" s="472"/>
      <c r="D202" s="472"/>
      <c r="E202" s="472"/>
      <c r="F202" s="472"/>
      <c r="G202" s="472"/>
      <c r="H202" s="472"/>
      <c r="I202" s="472"/>
      <c r="J202" s="472"/>
      <c r="K202" s="457"/>
      <c r="L202" s="472"/>
      <c r="M202" s="472"/>
      <c r="N202" s="472"/>
      <c r="O202" s="473"/>
      <c r="P202" s="473"/>
      <c r="Q202" s="473"/>
      <c r="R202" s="473"/>
      <c r="S202" s="473"/>
      <c r="T202" s="473"/>
      <c r="U202" s="473"/>
      <c r="V202" s="473"/>
      <c r="W202" s="473"/>
      <c r="X202" s="473"/>
      <c r="Y202" s="473"/>
      <c r="Z202" s="473"/>
    </row>
    <row r="203" spans="1:26" ht="18.75" customHeight="1">
      <c r="A203" s="472"/>
      <c r="B203" s="472"/>
      <c r="C203" s="472"/>
      <c r="D203" s="472"/>
      <c r="E203" s="472"/>
      <c r="F203" s="472"/>
      <c r="G203" s="472"/>
      <c r="H203" s="472"/>
      <c r="I203" s="472"/>
      <c r="J203" s="472"/>
      <c r="K203" s="457"/>
      <c r="L203" s="472"/>
      <c r="M203" s="472"/>
      <c r="N203" s="472"/>
      <c r="O203" s="473"/>
      <c r="P203" s="473"/>
      <c r="Q203" s="473"/>
      <c r="R203" s="473"/>
      <c r="S203" s="473"/>
      <c r="T203" s="473"/>
      <c r="U203" s="473"/>
      <c r="V203" s="473"/>
      <c r="W203" s="473"/>
      <c r="X203" s="473"/>
      <c r="Y203" s="473"/>
      <c r="Z203" s="473"/>
    </row>
    <row r="204" spans="1:26" ht="18.75" customHeight="1">
      <c r="A204" s="472"/>
      <c r="B204" s="472"/>
      <c r="C204" s="472"/>
      <c r="D204" s="472"/>
      <c r="E204" s="472"/>
      <c r="F204" s="472"/>
      <c r="G204" s="472"/>
      <c r="H204" s="472"/>
      <c r="I204" s="472"/>
      <c r="J204" s="472"/>
      <c r="K204" s="457"/>
      <c r="L204" s="472"/>
      <c r="M204" s="472"/>
      <c r="N204" s="472"/>
      <c r="O204" s="473"/>
      <c r="P204" s="473"/>
      <c r="Q204" s="473"/>
      <c r="R204" s="473"/>
      <c r="S204" s="473"/>
      <c r="T204" s="473"/>
      <c r="U204" s="473"/>
      <c r="V204" s="473"/>
      <c r="W204" s="473"/>
      <c r="X204" s="473"/>
      <c r="Y204" s="473"/>
      <c r="Z204" s="473"/>
    </row>
    <row r="205" spans="1:26" ht="18.75" customHeight="1">
      <c r="A205" s="472"/>
      <c r="B205" s="472"/>
      <c r="C205" s="472"/>
      <c r="D205" s="472"/>
      <c r="E205" s="472"/>
      <c r="F205" s="472"/>
      <c r="G205" s="472"/>
      <c r="H205" s="472"/>
      <c r="I205" s="472"/>
      <c r="J205" s="472"/>
      <c r="K205" s="457"/>
      <c r="L205" s="472"/>
      <c r="M205" s="472"/>
      <c r="N205" s="472"/>
      <c r="O205" s="473"/>
      <c r="P205" s="473"/>
      <c r="Q205" s="473"/>
      <c r="R205" s="473"/>
      <c r="S205" s="473"/>
      <c r="T205" s="473"/>
      <c r="U205" s="473"/>
      <c r="V205" s="473"/>
      <c r="W205" s="473"/>
      <c r="X205" s="473"/>
      <c r="Y205" s="473"/>
      <c r="Z205" s="473"/>
    </row>
    <row r="206" spans="1:26" ht="18.75" customHeight="1">
      <c r="A206" s="472"/>
      <c r="B206" s="472"/>
      <c r="C206" s="472"/>
      <c r="D206" s="472"/>
      <c r="E206" s="472"/>
      <c r="F206" s="472"/>
      <c r="G206" s="472"/>
      <c r="H206" s="472"/>
      <c r="I206" s="472"/>
      <c r="J206" s="472"/>
      <c r="K206" s="457"/>
      <c r="L206" s="472"/>
      <c r="M206" s="472"/>
      <c r="N206" s="472"/>
      <c r="O206" s="473"/>
      <c r="P206" s="473"/>
      <c r="Q206" s="473"/>
      <c r="R206" s="473"/>
      <c r="S206" s="473"/>
      <c r="T206" s="473"/>
      <c r="U206" s="473"/>
      <c r="V206" s="473"/>
      <c r="W206" s="473"/>
      <c r="X206" s="473"/>
      <c r="Y206" s="473"/>
      <c r="Z206" s="473"/>
    </row>
    <row r="207" spans="1:26" ht="18.75" customHeight="1">
      <c r="A207" s="472"/>
      <c r="B207" s="472"/>
      <c r="C207" s="472"/>
      <c r="D207" s="472"/>
      <c r="E207" s="472"/>
      <c r="F207" s="472"/>
      <c r="G207" s="472"/>
      <c r="H207" s="472"/>
      <c r="I207" s="472"/>
      <c r="J207" s="472"/>
      <c r="K207" s="457"/>
      <c r="L207" s="472"/>
      <c r="M207" s="472"/>
      <c r="N207" s="472"/>
      <c r="O207" s="473"/>
      <c r="P207" s="473"/>
      <c r="Q207" s="473"/>
      <c r="R207" s="473"/>
      <c r="S207" s="473"/>
      <c r="T207" s="473"/>
      <c r="U207" s="473"/>
      <c r="V207" s="473"/>
      <c r="W207" s="473"/>
      <c r="X207" s="473"/>
      <c r="Y207" s="473"/>
      <c r="Z207" s="473"/>
    </row>
    <row r="208" spans="1:26" ht="18.75" customHeight="1">
      <c r="A208" s="472"/>
      <c r="B208" s="472"/>
      <c r="C208" s="472"/>
      <c r="D208" s="472"/>
      <c r="E208" s="472"/>
      <c r="F208" s="472"/>
      <c r="G208" s="472"/>
      <c r="H208" s="472"/>
      <c r="I208" s="472"/>
      <c r="J208" s="472"/>
      <c r="K208" s="457"/>
      <c r="L208" s="472"/>
      <c r="M208" s="472"/>
      <c r="N208" s="472"/>
      <c r="O208" s="473"/>
      <c r="P208" s="473"/>
      <c r="Q208" s="473"/>
      <c r="R208" s="473"/>
      <c r="S208" s="473"/>
      <c r="T208" s="473"/>
      <c r="U208" s="473"/>
      <c r="V208" s="473"/>
      <c r="W208" s="473"/>
      <c r="X208" s="473"/>
      <c r="Y208" s="473"/>
      <c r="Z208" s="473"/>
    </row>
    <row r="209" spans="1:26" ht="18.75" customHeight="1">
      <c r="A209" s="472"/>
      <c r="B209" s="472"/>
      <c r="C209" s="472"/>
      <c r="D209" s="472"/>
      <c r="E209" s="472"/>
      <c r="F209" s="472"/>
      <c r="G209" s="472"/>
      <c r="H209" s="472"/>
      <c r="I209" s="472"/>
      <c r="J209" s="472"/>
      <c r="K209" s="457"/>
      <c r="L209" s="472"/>
      <c r="M209" s="472"/>
      <c r="N209" s="472"/>
      <c r="O209" s="473"/>
      <c r="P209" s="473"/>
      <c r="Q209" s="473"/>
      <c r="R209" s="473"/>
      <c r="S209" s="473"/>
      <c r="T209" s="473"/>
      <c r="U209" s="473"/>
      <c r="V209" s="473"/>
      <c r="W209" s="473"/>
      <c r="X209" s="473"/>
      <c r="Y209" s="473"/>
      <c r="Z209" s="473"/>
    </row>
    <row r="210" spans="1:26" ht="18.75" customHeight="1">
      <c r="A210" s="472"/>
      <c r="B210" s="472"/>
      <c r="C210" s="472"/>
      <c r="D210" s="472"/>
      <c r="E210" s="472"/>
      <c r="F210" s="472"/>
      <c r="G210" s="472"/>
      <c r="H210" s="472"/>
      <c r="I210" s="472"/>
      <c r="J210" s="472"/>
      <c r="K210" s="457"/>
      <c r="L210" s="472"/>
      <c r="M210" s="472"/>
      <c r="N210" s="472"/>
      <c r="O210" s="473"/>
      <c r="P210" s="473"/>
      <c r="Q210" s="473"/>
      <c r="R210" s="473"/>
      <c r="S210" s="473"/>
      <c r="T210" s="473"/>
      <c r="U210" s="473"/>
      <c r="V210" s="473"/>
      <c r="W210" s="473"/>
      <c r="X210" s="473"/>
      <c r="Y210" s="473"/>
      <c r="Z210" s="473"/>
    </row>
    <row r="211" spans="1:26" ht="18.75" customHeight="1">
      <c r="A211" s="472"/>
      <c r="B211" s="472"/>
      <c r="C211" s="472"/>
      <c r="D211" s="472"/>
      <c r="E211" s="472"/>
      <c r="F211" s="472"/>
      <c r="G211" s="472"/>
      <c r="H211" s="472"/>
      <c r="I211" s="472"/>
      <c r="J211" s="472"/>
      <c r="K211" s="457"/>
      <c r="L211" s="472"/>
      <c r="M211" s="472"/>
      <c r="N211" s="472"/>
      <c r="O211" s="473"/>
      <c r="P211" s="473"/>
      <c r="Q211" s="473"/>
      <c r="R211" s="473"/>
      <c r="S211" s="473"/>
      <c r="T211" s="473"/>
      <c r="U211" s="473"/>
      <c r="V211" s="473"/>
      <c r="W211" s="473"/>
      <c r="X211" s="473"/>
      <c r="Y211" s="473"/>
      <c r="Z211" s="473"/>
    </row>
    <row r="212" spans="1:26" ht="18.75" customHeight="1">
      <c r="A212" s="472"/>
      <c r="B212" s="472"/>
      <c r="C212" s="472"/>
      <c r="D212" s="472"/>
      <c r="E212" s="472"/>
      <c r="F212" s="472"/>
      <c r="G212" s="472"/>
      <c r="H212" s="472"/>
      <c r="I212" s="472"/>
      <c r="J212" s="472"/>
      <c r="K212" s="457"/>
      <c r="L212" s="472"/>
      <c r="M212" s="472"/>
      <c r="N212" s="472"/>
      <c r="O212" s="473"/>
      <c r="P212" s="473"/>
      <c r="Q212" s="473"/>
      <c r="R212" s="473"/>
      <c r="S212" s="473"/>
      <c r="T212" s="473"/>
      <c r="U212" s="473"/>
      <c r="V212" s="473"/>
      <c r="W212" s="473"/>
      <c r="X212" s="473"/>
      <c r="Y212" s="473"/>
      <c r="Z212" s="473"/>
    </row>
    <row r="213" spans="1:26" ht="18.75" customHeight="1">
      <c r="A213" s="472"/>
      <c r="B213" s="472"/>
      <c r="C213" s="472"/>
      <c r="D213" s="472"/>
      <c r="E213" s="472"/>
      <c r="F213" s="472"/>
      <c r="G213" s="472"/>
      <c r="H213" s="472"/>
      <c r="I213" s="472"/>
      <c r="J213" s="472"/>
      <c r="K213" s="457"/>
      <c r="L213" s="472"/>
      <c r="M213" s="472"/>
      <c r="N213" s="472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</row>
    <row r="214" spans="1:26" ht="18.75" customHeight="1">
      <c r="A214" s="472"/>
      <c r="B214" s="472"/>
      <c r="C214" s="472"/>
      <c r="D214" s="472"/>
      <c r="E214" s="472"/>
      <c r="F214" s="472"/>
      <c r="G214" s="472"/>
      <c r="H214" s="472"/>
      <c r="I214" s="472"/>
      <c r="J214" s="472"/>
      <c r="K214" s="457"/>
      <c r="L214" s="472"/>
      <c r="M214" s="472"/>
      <c r="N214" s="472"/>
      <c r="O214" s="473"/>
      <c r="P214" s="473"/>
      <c r="Q214" s="473"/>
      <c r="R214" s="473"/>
      <c r="S214" s="473"/>
      <c r="T214" s="473"/>
      <c r="U214" s="473"/>
      <c r="V214" s="473"/>
      <c r="W214" s="473"/>
      <c r="X214" s="473"/>
      <c r="Y214" s="473"/>
      <c r="Z214" s="473"/>
    </row>
    <row r="215" spans="1:26" ht="18.75" customHeight="1">
      <c r="A215" s="472"/>
      <c r="B215" s="472"/>
      <c r="C215" s="472"/>
      <c r="D215" s="472"/>
      <c r="E215" s="472"/>
      <c r="F215" s="472"/>
      <c r="G215" s="472"/>
      <c r="H215" s="472"/>
      <c r="I215" s="472"/>
      <c r="J215" s="472"/>
      <c r="K215" s="457"/>
      <c r="L215" s="472"/>
      <c r="M215" s="472"/>
      <c r="N215" s="472"/>
      <c r="O215" s="473"/>
      <c r="P215" s="473"/>
      <c r="Q215" s="473"/>
      <c r="R215" s="473"/>
      <c r="S215" s="473"/>
      <c r="T215" s="473"/>
      <c r="U215" s="473"/>
      <c r="V215" s="473"/>
      <c r="W215" s="473"/>
      <c r="X215" s="473"/>
      <c r="Y215" s="473"/>
      <c r="Z215" s="473"/>
    </row>
    <row r="216" spans="1:26" ht="18.75" customHeight="1">
      <c r="A216" s="472"/>
      <c r="B216" s="472"/>
      <c r="C216" s="472"/>
      <c r="D216" s="472"/>
      <c r="E216" s="472"/>
      <c r="F216" s="472"/>
      <c r="G216" s="472"/>
      <c r="H216" s="472"/>
      <c r="I216" s="472"/>
      <c r="J216" s="472"/>
      <c r="K216" s="457"/>
      <c r="L216" s="472"/>
      <c r="M216" s="472"/>
      <c r="N216" s="472"/>
      <c r="O216" s="473"/>
      <c r="P216" s="473"/>
      <c r="Q216" s="473"/>
      <c r="R216" s="473"/>
      <c r="S216" s="473"/>
      <c r="T216" s="473"/>
      <c r="U216" s="473"/>
      <c r="V216" s="473"/>
      <c r="W216" s="473"/>
      <c r="X216" s="473"/>
      <c r="Y216" s="473"/>
      <c r="Z216" s="473"/>
    </row>
    <row r="217" spans="1:26" ht="18.75" customHeight="1">
      <c r="A217" s="472"/>
      <c r="B217" s="472"/>
      <c r="C217" s="472"/>
      <c r="D217" s="472"/>
      <c r="E217" s="472"/>
      <c r="F217" s="472"/>
      <c r="G217" s="472"/>
      <c r="H217" s="472"/>
      <c r="I217" s="472"/>
      <c r="J217" s="472"/>
      <c r="K217" s="457"/>
      <c r="L217" s="472"/>
      <c r="M217" s="472"/>
      <c r="N217" s="472"/>
      <c r="O217" s="473"/>
      <c r="P217" s="473"/>
      <c r="Q217" s="473"/>
      <c r="R217" s="473"/>
      <c r="S217" s="473"/>
      <c r="T217" s="473"/>
      <c r="U217" s="473"/>
      <c r="V217" s="473"/>
      <c r="W217" s="473"/>
      <c r="X217" s="473"/>
      <c r="Y217" s="473"/>
      <c r="Z217" s="473"/>
    </row>
    <row r="218" spans="1:26" ht="18.75" customHeight="1">
      <c r="A218" s="472"/>
      <c r="B218" s="472"/>
      <c r="C218" s="472"/>
      <c r="D218" s="472"/>
      <c r="E218" s="472"/>
      <c r="F218" s="472"/>
      <c r="G218" s="472"/>
      <c r="H218" s="472"/>
      <c r="I218" s="472"/>
      <c r="J218" s="472"/>
      <c r="K218" s="457"/>
      <c r="L218" s="472"/>
      <c r="M218" s="472"/>
      <c r="N218" s="472"/>
      <c r="O218" s="473"/>
      <c r="P218" s="473"/>
      <c r="Q218" s="473"/>
      <c r="R218" s="473"/>
      <c r="S218" s="473"/>
      <c r="T218" s="473"/>
      <c r="U218" s="473"/>
      <c r="V218" s="473"/>
      <c r="W218" s="473"/>
      <c r="X218" s="473"/>
      <c r="Y218" s="473"/>
      <c r="Z218" s="473"/>
    </row>
    <row r="219" spans="1:26" ht="18.75" customHeight="1">
      <c r="A219" s="472"/>
      <c r="B219" s="472"/>
      <c r="C219" s="472"/>
      <c r="D219" s="472"/>
      <c r="E219" s="472"/>
      <c r="F219" s="472"/>
      <c r="G219" s="472"/>
      <c r="H219" s="472"/>
      <c r="I219" s="472"/>
      <c r="J219" s="472"/>
      <c r="K219" s="457"/>
      <c r="L219" s="472"/>
      <c r="M219" s="472"/>
      <c r="N219" s="472"/>
      <c r="O219" s="473"/>
      <c r="P219" s="473"/>
      <c r="Q219" s="473"/>
      <c r="R219" s="473"/>
      <c r="S219" s="473"/>
      <c r="T219" s="473"/>
      <c r="U219" s="473"/>
      <c r="V219" s="473"/>
      <c r="W219" s="473"/>
      <c r="X219" s="473"/>
      <c r="Y219" s="473"/>
      <c r="Z219" s="473"/>
    </row>
    <row r="220" spans="1:26" ht="18.75" customHeight="1">
      <c r="A220" s="472"/>
      <c r="B220" s="472"/>
      <c r="C220" s="472"/>
      <c r="D220" s="472"/>
      <c r="E220" s="472"/>
      <c r="F220" s="472"/>
      <c r="G220" s="472"/>
      <c r="H220" s="472"/>
      <c r="I220" s="472"/>
      <c r="J220" s="472"/>
      <c r="K220" s="457"/>
      <c r="L220" s="472"/>
      <c r="M220" s="472"/>
      <c r="N220" s="472"/>
      <c r="O220" s="473"/>
      <c r="P220" s="473"/>
      <c r="Q220" s="473"/>
      <c r="R220" s="473"/>
      <c r="S220" s="473"/>
      <c r="T220" s="473"/>
      <c r="U220" s="473"/>
      <c r="V220" s="473"/>
      <c r="W220" s="473"/>
      <c r="X220" s="473"/>
      <c r="Y220" s="473"/>
      <c r="Z220" s="473"/>
    </row>
    <row r="221" spans="1:26" ht="18.75" customHeight="1">
      <c r="A221" s="472"/>
      <c r="B221" s="472"/>
      <c r="C221" s="472"/>
      <c r="D221" s="472"/>
      <c r="E221" s="472"/>
      <c r="F221" s="472"/>
      <c r="G221" s="472"/>
      <c r="H221" s="472"/>
      <c r="I221" s="472"/>
      <c r="J221" s="472"/>
      <c r="K221" s="457"/>
      <c r="L221" s="472"/>
      <c r="M221" s="472"/>
      <c r="N221" s="472"/>
      <c r="O221" s="473"/>
      <c r="P221" s="473"/>
      <c r="Q221" s="473"/>
      <c r="R221" s="473"/>
      <c r="S221" s="473"/>
      <c r="T221" s="473"/>
      <c r="U221" s="473"/>
      <c r="V221" s="473"/>
      <c r="W221" s="473"/>
      <c r="X221" s="473"/>
      <c r="Y221" s="473"/>
      <c r="Z221" s="473"/>
    </row>
    <row r="222" spans="1:26" ht="18.75" customHeight="1">
      <c r="A222" s="472"/>
      <c r="B222" s="472"/>
      <c r="C222" s="472"/>
      <c r="D222" s="472"/>
      <c r="E222" s="472"/>
      <c r="F222" s="472"/>
      <c r="G222" s="472"/>
      <c r="H222" s="472"/>
      <c r="I222" s="472"/>
      <c r="J222" s="472"/>
      <c r="K222" s="457"/>
      <c r="L222" s="472"/>
      <c r="M222" s="472"/>
      <c r="N222" s="472"/>
      <c r="O222" s="473"/>
      <c r="P222" s="473"/>
      <c r="Q222" s="473"/>
      <c r="R222" s="473"/>
      <c r="S222" s="473"/>
      <c r="T222" s="473"/>
      <c r="U222" s="473"/>
      <c r="V222" s="473"/>
      <c r="W222" s="473"/>
      <c r="X222" s="473"/>
      <c r="Y222" s="473"/>
      <c r="Z222" s="473"/>
    </row>
    <row r="223" spans="1:26" ht="18.75" customHeight="1">
      <c r="A223" s="472"/>
      <c r="B223" s="472"/>
      <c r="C223" s="472"/>
      <c r="D223" s="472"/>
      <c r="E223" s="472"/>
      <c r="F223" s="472"/>
      <c r="G223" s="472"/>
      <c r="H223" s="472"/>
      <c r="I223" s="472"/>
      <c r="J223" s="472"/>
      <c r="K223" s="457"/>
      <c r="L223" s="472"/>
      <c r="M223" s="472"/>
      <c r="N223" s="472"/>
      <c r="O223" s="473"/>
      <c r="P223" s="473"/>
      <c r="Q223" s="473"/>
      <c r="R223" s="473"/>
      <c r="S223" s="473"/>
      <c r="T223" s="473"/>
      <c r="U223" s="473"/>
      <c r="V223" s="473"/>
      <c r="W223" s="473"/>
      <c r="X223" s="473"/>
      <c r="Y223" s="473"/>
      <c r="Z223" s="473"/>
    </row>
    <row r="224" spans="1:26" ht="18.75" customHeight="1">
      <c r="A224" s="472"/>
      <c r="B224" s="472"/>
      <c r="C224" s="472"/>
      <c r="D224" s="472"/>
      <c r="E224" s="472"/>
      <c r="F224" s="472"/>
      <c r="G224" s="472"/>
      <c r="H224" s="472"/>
      <c r="I224" s="472"/>
      <c r="J224" s="472"/>
      <c r="K224" s="457"/>
      <c r="L224" s="472"/>
      <c r="M224" s="472"/>
      <c r="N224" s="472"/>
      <c r="O224" s="473"/>
      <c r="P224" s="473"/>
      <c r="Q224" s="473"/>
      <c r="R224" s="473"/>
      <c r="S224" s="473"/>
      <c r="T224" s="473"/>
      <c r="U224" s="473"/>
      <c r="V224" s="473"/>
      <c r="W224" s="473"/>
      <c r="X224" s="473"/>
      <c r="Y224" s="473"/>
      <c r="Z224" s="473"/>
    </row>
    <row r="225" spans="1:26" ht="18.75" customHeight="1">
      <c r="A225" s="472"/>
      <c r="B225" s="472"/>
      <c r="C225" s="472"/>
      <c r="D225" s="472"/>
      <c r="E225" s="472"/>
      <c r="F225" s="472"/>
      <c r="G225" s="472"/>
      <c r="H225" s="472"/>
      <c r="I225" s="472"/>
      <c r="J225" s="472"/>
      <c r="K225" s="457"/>
      <c r="L225" s="472"/>
      <c r="M225" s="472"/>
      <c r="N225" s="472"/>
      <c r="O225" s="473"/>
      <c r="P225" s="473"/>
      <c r="Q225" s="473"/>
      <c r="R225" s="473"/>
      <c r="S225" s="473"/>
      <c r="T225" s="473"/>
      <c r="U225" s="473"/>
      <c r="V225" s="473"/>
      <c r="W225" s="473"/>
      <c r="X225" s="473"/>
      <c r="Y225" s="473"/>
      <c r="Z225" s="473"/>
    </row>
    <row r="226" spans="1:26" ht="18.75" customHeight="1">
      <c r="A226" s="472"/>
      <c r="B226" s="472"/>
      <c r="C226" s="472"/>
      <c r="D226" s="472"/>
      <c r="E226" s="472"/>
      <c r="F226" s="472"/>
      <c r="G226" s="472"/>
      <c r="H226" s="472"/>
      <c r="I226" s="472"/>
      <c r="J226" s="472"/>
      <c r="K226" s="457"/>
      <c r="L226" s="472"/>
      <c r="M226" s="472"/>
      <c r="N226" s="472"/>
      <c r="O226" s="473"/>
      <c r="P226" s="473"/>
      <c r="Q226" s="473"/>
      <c r="R226" s="473"/>
      <c r="S226" s="473"/>
      <c r="T226" s="473"/>
      <c r="U226" s="473"/>
      <c r="V226" s="473"/>
      <c r="W226" s="473"/>
      <c r="X226" s="473"/>
      <c r="Y226" s="473"/>
      <c r="Z226" s="473"/>
    </row>
    <row r="227" spans="1:26" ht="18.75" customHeight="1">
      <c r="A227" s="472"/>
      <c r="B227" s="472"/>
      <c r="C227" s="472"/>
      <c r="D227" s="472"/>
      <c r="E227" s="472"/>
      <c r="F227" s="472"/>
      <c r="G227" s="472"/>
      <c r="H227" s="472"/>
      <c r="I227" s="472"/>
      <c r="J227" s="472"/>
      <c r="K227" s="457"/>
      <c r="L227" s="472"/>
      <c r="M227" s="472"/>
      <c r="N227" s="472"/>
      <c r="O227" s="473"/>
      <c r="P227" s="473"/>
      <c r="Q227" s="473"/>
      <c r="R227" s="473"/>
      <c r="S227" s="473"/>
      <c r="T227" s="473"/>
      <c r="U227" s="473"/>
      <c r="V227" s="473"/>
      <c r="W227" s="473"/>
      <c r="X227" s="473"/>
      <c r="Y227" s="473"/>
      <c r="Z227" s="473"/>
    </row>
    <row r="228" spans="1:26" ht="18.75" customHeight="1">
      <c r="A228" s="472"/>
      <c r="B228" s="472"/>
      <c r="C228" s="472"/>
      <c r="D228" s="472"/>
      <c r="E228" s="472"/>
      <c r="F228" s="472"/>
      <c r="G228" s="472"/>
      <c r="H228" s="472"/>
      <c r="I228" s="472"/>
      <c r="J228" s="472"/>
      <c r="K228" s="457"/>
      <c r="L228" s="472"/>
      <c r="M228" s="472"/>
      <c r="N228" s="472"/>
      <c r="O228" s="473"/>
      <c r="P228" s="473"/>
      <c r="Q228" s="473"/>
      <c r="R228" s="473"/>
      <c r="S228" s="473"/>
      <c r="T228" s="473"/>
      <c r="U228" s="473"/>
      <c r="V228" s="473"/>
      <c r="W228" s="473"/>
      <c r="X228" s="473"/>
      <c r="Y228" s="473"/>
      <c r="Z228" s="473"/>
    </row>
    <row r="229" spans="1:26" ht="18.75" customHeight="1">
      <c r="A229" s="472"/>
      <c r="B229" s="472"/>
      <c r="C229" s="472"/>
      <c r="D229" s="472"/>
      <c r="E229" s="472"/>
      <c r="F229" s="472"/>
      <c r="G229" s="472"/>
      <c r="H229" s="472"/>
      <c r="I229" s="472"/>
      <c r="J229" s="472"/>
      <c r="K229" s="457"/>
      <c r="L229" s="472"/>
      <c r="M229" s="472"/>
      <c r="N229" s="472"/>
      <c r="O229" s="473"/>
      <c r="P229" s="473"/>
      <c r="Q229" s="473"/>
      <c r="R229" s="473"/>
      <c r="S229" s="473"/>
      <c r="T229" s="473"/>
      <c r="U229" s="473"/>
      <c r="V229" s="473"/>
      <c r="W229" s="473"/>
      <c r="X229" s="473"/>
      <c r="Y229" s="473"/>
      <c r="Z229" s="473"/>
    </row>
    <row r="230" spans="1:26" ht="18.75" customHeight="1">
      <c r="A230" s="472"/>
      <c r="B230" s="472"/>
      <c r="C230" s="472"/>
      <c r="D230" s="472"/>
      <c r="E230" s="472"/>
      <c r="F230" s="472"/>
      <c r="G230" s="472"/>
      <c r="H230" s="472"/>
      <c r="I230" s="472"/>
      <c r="J230" s="472"/>
      <c r="K230" s="457"/>
      <c r="L230" s="472"/>
      <c r="M230" s="472"/>
      <c r="N230" s="472"/>
      <c r="O230" s="473"/>
      <c r="P230" s="473"/>
      <c r="Q230" s="473"/>
      <c r="R230" s="473"/>
      <c r="S230" s="473"/>
      <c r="T230" s="473"/>
      <c r="U230" s="473"/>
      <c r="V230" s="473"/>
      <c r="W230" s="473"/>
      <c r="X230" s="473"/>
      <c r="Y230" s="473"/>
      <c r="Z230" s="473"/>
    </row>
    <row r="231" spans="1:26" ht="18.75" customHeight="1">
      <c r="A231" s="472"/>
      <c r="B231" s="472"/>
      <c r="C231" s="472"/>
      <c r="D231" s="472"/>
      <c r="E231" s="472"/>
      <c r="F231" s="472"/>
      <c r="G231" s="472"/>
      <c r="H231" s="472"/>
      <c r="I231" s="472"/>
      <c r="J231" s="472"/>
      <c r="K231" s="457"/>
      <c r="L231" s="472"/>
      <c r="M231" s="472"/>
      <c r="N231" s="472"/>
      <c r="O231" s="473"/>
      <c r="P231" s="473"/>
      <c r="Q231" s="473"/>
      <c r="R231" s="473"/>
      <c r="S231" s="473"/>
      <c r="T231" s="473"/>
      <c r="U231" s="473"/>
      <c r="V231" s="473"/>
      <c r="W231" s="473"/>
      <c r="X231" s="473"/>
      <c r="Y231" s="473"/>
      <c r="Z231" s="473"/>
    </row>
    <row r="232" spans="1:26" ht="18.75" customHeight="1">
      <c r="A232" s="472"/>
      <c r="B232" s="472"/>
      <c r="C232" s="472"/>
      <c r="D232" s="472"/>
      <c r="E232" s="472"/>
      <c r="F232" s="472"/>
      <c r="G232" s="472"/>
      <c r="H232" s="472"/>
      <c r="I232" s="472"/>
      <c r="J232" s="472"/>
      <c r="K232" s="457"/>
      <c r="L232" s="472"/>
      <c r="M232" s="472"/>
      <c r="N232" s="472"/>
      <c r="O232" s="473"/>
      <c r="P232" s="473"/>
      <c r="Q232" s="473"/>
      <c r="R232" s="473"/>
      <c r="S232" s="473"/>
      <c r="T232" s="473"/>
      <c r="U232" s="473"/>
      <c r="V232" s="473"/>
      <c r="W232" s="473"/>
      <c r="X232" s="473"/>
      <c r="Y232" s="473"/>
      <c r="Z232" s="473"/>
    </row>
    <row r="233" spans="1:26" ht="18.75" customHeight="1">
      <c r="A233" s="472"/>
      <c r="B233" s="472"/>
      <c r="C233" s="472"/>
      <c r="D233" s="472"/>
      <c r="E233" s="472"/>
      <c r="F233" s="472"/>
      <c r="G233" s="472"/>
      <c r="H233" s="472"/>
      <c r="I233" s="472"/>
      <c r="J233" s="472"/>
      <c r="K233" s="457"/>
      <c r="L233" s="472"/>
      <c r="M233" s="472"/>
      <c r="N233" s="472"/>
      <c r="O233" s="473"/>
      <c r="P233" s="473"/>
      <c r="Q233" s="473"/>
      <c r="R233" s="473"/>
      <c r="S233" s="473"/>
      <c r="T233" s="473"/>
      <c r="U233" s="473"/>
      <c r="V233" s="473"/>
      <c r="W233" s="473"/>
      <c r="X233" s="473"/>
      <c r="Y233" s="473"/>
      <c r="Z233" s="473"/>
    </row>
    <row r="234" spans="1:26" ht="18.75" customHeight="1">
      <c r="A234" s="472"/>
      <c r="B234" s="472"/>
      <c r="C234" s="472"/>
      <c r="D234" s="472"/>
      <c r="E234" s="472"/>
      <c r="F234" s="472"/>
      <c r="G234" s="472"/>
      <c r="H234" s="472"/>
      <c r="I234" s="472"/>
      <c r="J234" s="472"/>
      <c r="K234" s="457"/>
      <c r="L234" s="472"/>
      <c r="M234" s="472"/>
      <c r="N234" s="472"/>
      <c r="O234" s="473"/>
      <c r="P234" s="473"/>
      <c r="Q234" s="473"/>
      <c r="R234" s="473"/>
      <c r="S234" s="473"/>
      <c r="T234" s="473"/>
      <c r="U234" s="473"/>
      <c r="V234" s="473"/>
      <c r="W234" s="473"/>
      <c r="X234" s="473"/>
      <c r="Y234" s="473"/>
      <c r="Z234" s="473"/>
    </row>
    <row r="235" spans="1:26" ht="18.75" customHeight="1">
      <c r="A235" s="472"/>
      <c r="B235" s="472"/>
      <c r="C235" s="472"/>
      <c r="D235" s="472"/>
      <c r="E235" s="472"/>
      <c r="F235" s="472"/>
      <c r="G235" s="472"/>
      <c r="H235" s="472"/>
      <c r="I235" s="472"/>
      <c r="J235" s="472"/>
      <c r="K235" s="457"/>
      <c r="L235" s="472"/>
      <c r="M235" s="472"/>
      <c r="N235" s="472"/>
      <c r="O235" s="473"/>
      <c r="P235" s="473"/>
      <c r="Q235" s="473"/>
      <c r="R235" s="473"/>
      <c r="S235" s="473"/>
      <c r="T235" s="473"/>
      <c r="U235" s="473"/>
      <c r="V235" s="473"/>
      <c r="W235" s="473"/>
      <c r="X235" s="473"/>
      <c r="Y235" s="473"/>
      <c r="Z235" s="473"/>
    </row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14.42578125" defaultRowHeight="15" customHeight="1"/>
  <cols>
    <col min="1" max="1" width="16" customWidth="1"/>
    <col min="2" max="2" width="25.28515625" customWidth="1"/>
    <col min="3" max="3" width="11.42578125" customWidth="1"/>
    <col min="4" max="4" width="12.140625" customWidth="1"/>
    <col min="5" max="8" width="11.42578125" customWidth="1"/>
    <col min="9" max="9" width="13" customWidth="1"/>
    <col min="10" max="10" width="14" customWidth="1"/>
    <col min="11" max="11" width="11.42578125" customWidth="1"/>
    <col min="12" max="12" width="13.42578125" customWidth="1"/>
    <col min="13" max="13" width="12.42578125" customWidth="1"/>
    <col min="14" max="14" width="12.5703125" customWidth="1"/>
    <col min="15" max="15" width="16.42578125" hidden="1" customWidth="1"/>
  </cols>
  <sheetData>
    <row r="1" spans="1:15">
      <c r="A1" s="184" t="s">
        <v>103</v>
      </c>
      <c r="J1" s="269"/>
      <c r="K1" s="269"/>
      <c r="L1" s="269"/>
      <c r="M1" s="269"/>
      <c r="N1" s="269"/>
    </row>
    <row r="2" spans="1:15">
      <c r="A2" s="184" t="s">
        <v>283</v>
      </c>
      <c r="J2" s="269"/>
      <c r="K2" s="269"/>
      <c r="L2" s="269"/>
      <c r="M2" s="269"/>
      <c r="N2" s="269"/>
    </row>
    <row r="3" spans="1:15">
      <c r="A3" s="474">
        <f>'Cash Flow - Actual'!A3</f>
        <v>45351</v>
      </c>
      <c r="J3" s="269"/>
      <c r="K3" s="269"/>
      <c r="L3" s="269"/>
      <c r="M3" s="269"/>
      <c r="N3" s="269"/>
    </row>
    <row r="4" spans="1:15">
      <c r="A4" s="184"/>
      <c r="J4" s="269"/>
      <c r="K4" s="269"/>
      <c r="L4" s="269"/>
      <c r="M4" s="269"/>
      <c r="N4" s="269"/>
    </row>
    <row r="5" spans="1:15" ht="30">
      <c r="A5" s="475" t="s">
        <v>284</v>
      </c>
      <c r="B5" s="475" t="s">
        <v>207</v>
      </c>
      <c r="C5" s="475" t="s">
        <v>248</v>
      </c>
      <c r="D5" s="475" t="s">
        <v>249</v>
      </c>
      <c r="E5" s="475" t="s">
        <v>250</v>
      </c>
      <c r="F5" s="475" t="s">
        <v>285</v>
      </c>
      <c r="G5" s="475" t="s">
        <v>252</v>
      </c>
      <c r="H5" s="475" t="s">
        <v>253</v>
      </c>
      <c r="I5" s="475" t="s">
        <v>254</v>
      </c>
      <c r="J5" s="477" t="s">
        <v>255</v>
      </c>
      <c r="K5" s="477" t="s">
        <v>256</v>
      </c>
      <c r="L5" s="477" t="s">
        <v>257</v>
      </c>
      <c r="M5" s="477" t="s">
        <v>258</v>
      </c>
      <c r="N5" s="477" t="s">
        <v>259</v>
      </c>
      <c r="O5" s="484" t="s">
        <v>260</v>
      </c>
    </row>
    <row r="6" spans="1:15">
      <c r="A6" s="485">
        <v>6000</v>
      </c>
      <c r="B6" s="486" t="s">
        <v>286</v>
      </c>
      <c r="C6" s="457">
        <v>668151.1</v>
      </c>
      <c r="D6" s="457">
        <v>678246.83</v>
      </c>
      <c r="E6" s="457">
        <v>702079.77</v>
      </c>
      <c r="F6" s="457">
        <v>702490.28</v>
      </c>
      <c r="G6" s="457">
        <v>709605.38</v>
      </c>
      <c r="H6" s="457">
        <v>712974.47</v>
      </c>
      <c r="I6" s="457">
        <v>707713.22</v>
      </c>
      <c r="J6" s="457">
        <v>709084.88</v>
      </c>
      <c r="K6" s="457"/>
      <c r="L6" s="457"/>
      <c r="M6" s="457"/>
      <c r="N6" s="457"/>
      <c r="O6" s="487">
        <f>M6-N6</f>
        <v>0</v>
      </c>
    </row>
    <row r="7" spans="1:15">
      <c r="A7" s="485">
        <v>6000.1</v>
      </c>
      <c r="B7" s="486" t="s">
        <v>287</v>
      </c>
      <c r="C7" s="457">
        <v>8613.32</v>
      </c>
      <c r="D7" s="457">
        <v>33946.78</v>
      </c>
      <c r="E7" s="457">
        <v>61262</v>
      </c>
      <c r="F7" s="457">
        <v>60822.5</v>
      </c>
      <c r="G7" s="457">
        <v>53602.57</v>
      </c>
      <c r="H7" s="457">
        <v>41772.5</v>
      </c>
      <c r="I7" s="457">
        <v>33207.5</v>
      </c>
      <c r="J7" s="457">
        <v>49822.5</v>
      </c>
      <c r="K7" s="457"/>
      <c r="L7" s="457"/>
      <c r="M7" s="457"/>
      <c r="N7" s="457"/>
      <c r="O7" s="487"/>
    </row>
    <row r="8" spans="1:15">
      <c r="A8" s="485" t="s">
        <v>288</v>
      </c>
      <c r="B8" s="486" t="s">
        <v>289</v>
      </c>
      <c r="C8" s="457">
        <v>0</v>
      </c>
      <c r="D8" s="457">
        <v>0</v>
      </c>
      <c r="E8" s="457"/>
      <c r="F8" s="457">
        <v>0</v>
      </c>
      <c r="G8" s="457">
        <v>0</v>
      </c>
      <c r="H8" s="457">
        <v>0</v>
      </c>
      <c r="I8" s="457">
        <v>0</v>
      </c>
      <c r="J8" s="457">
        <v>0</v>
      </c>
      <c r="K8" s="457"/>
      <c r="L8" s="457"/>
      <c r="M8" s="457"/>
      <c r="N8" s="457"/>
      <c r="O8" s="487">
        <f t="shared" ref="O8:O20" si="0">M8-N8</f>
        <v>0</v>
      </c>
    </row>
    <row r="9" spans="1:15">
      <c r="A9" s="485">
        <v>6010</v>
      </c>
      <c r="B9" s="486" t="s">
        <v>267</v>
      </c>
      <c r="C9" s="457">
        <v>0</v>
      </c>
      <c r="D9" s="457">
        <v>0</v>
      </c>
      <c r="E9" s="457"/>
      <c r="F9" s="457">
        <v>0</v>
      </c>
      <c r="G9" s="457">
        <v>0</v>
      </c>
      <c r="H9" s="457">
        <v>0</v>
      </c>
      <c r="I9" s="457">
        <v>0</v>
      </c>
      <c r="J9" s="457">
        <v>0</v>
      </c>
      <c r="K9" s="457"/>
      <c r="L9" s="457"/>
      <c r="M9" s="457"/>
      <c r="N9" s="457"/>
      <c r="O9" s="487">
        <f t="shared" si="0"/>
        <v>0</v>
      </c>
    </row>
    <row r="10" spans="1:15">
      <c r="A10" s="485">
        <v>6005</v>
      </c>
      <c r="B10" s="486" t="s">
        <v>290</v>
      </c>
      <c r="C10" s="457">
        <v>0</v>
      </c>
      <c r="D10" s="457">
        <v>0</v>
      </c>
      <c r="E10" s="457">
        <v>170000</v>
      </c>
      <c r="F10" s="457">
        <v>0</v>
      </c>
      <c r="G10" s="457">
        <v>0</v>
      </c>
      <c r="H10" s="457">
        <v>0</v>
      </c>
      <c r="I10" s="457">
        <v>0</v>
      </c>
      <c r="J10" s="457">
        <v>0</v>
      </c>
      <c r="K10" s="457"/>
      <c r="L10" s="457"/>
      <c r="M10" s="457"/>
      <c r="N10" s="457"/>
      <c r="O10" s="487">
        <f t="shared" si="0"/>
        <v>0</v>
      </c>
    </row>
    <row r="11" spans="1:15">
      <c r="A11" s="485">
        <v>6015</v>
      </c>
      <c r="B11" s="486" t="s">
        <v>266</v>
      </c>
      <c r="C11" s="457">
        <v>3060</v>
      </c>
      <c r="D11" s="457">
        <v>22264.63</v>
      </c>
      <c r="E11" s="457">
        <v>3130</v>
      </c>
      <c r="F11" s="457">
        <v>18092.79</v>
      </c>
      <c r="G11" s="457">
        <v>22056.73</v>
      </c>
      <c r="H11" s="457">
        <v>136678.32999999999</v>
      </c>
      <c r="I11" s="457">
        <v>3407.5</v>
      </c>
      <c r="J11" s="457">
        <v>17790</v>
      </c>
      <c r="K11" s="457"/>
      <c r="L11" s="457"/>
      <c r="M11" s="457"/>
      <c r="N11" s="457"/>
      <c r="O11" s="487">
        <f t="shared" si="0"/>
        <v>0</v>
      </c>
    </row>
    <row r="12" spans="1:15">
      <c r="A12" s="485">
        <v>6018</v>
      </c>
      <c r="B12" s="486" t="s">
        <v>291</v>
      </c>
      <c r="C12" s="457">
        <v>0</v>
      </c>
      <c r="D12" s="457">
        <v>1159.51</v>
      </c>
      <c r="E12" s="457">
        <v>1111.7</v>
      </c>
      <c r="F12" s="457">
        <v>1130.98</v>
      </c>
      <c r="G12" s="457">
        <v>600</v>
      </c>
      <c r="H12" s="457">
        <v>2099.9899999999998</v>
      </c>
      <c r="I12" s="457">
        <v>1638.36</v>
      </c>
      <c r="J12" s="457">
        <v>900</v>
      </c>
      <c r="K12" s="457"/>
      <c r="L12" s="457"/>
      <c r="M12" s="457"/>
      <c r="N12" s="457"/>
      <c r="O12" s="487">
        <f t="shared" si="0"/>
        <v>0</v>
      </c>
    </row>
    <row r="13" spans="1:15">
      <c r="A13" s="485">
        <v>6020</v>
      </c>
      <c r="B13" s="486" t="s">
        <v>292</v>
      </c>
      <c r="C13" s="457">
        <v>0</v>
      </c>
      <c r="D13" s="457">
        <v>0</v>
      </c>
      <c r="E13" s="457">
        <v>0</v>
      </c>
      <c r="F13" s="457">
        <v>0</v>
      </c>
      <c r="G13" s="457"/>
      <c r="H13" s="457">
        <v>0</v>
      </c>
      <c r="I13" s="457">
        <v>0</v>
      </c>
      <c r="J13" s="457">
        <v>0</v>
      </c>
      <c r="K13" s="457"/>
      <c r="L13" s="457"/>
      <c r="M13" s="457"/>
      <c r="N13" s="457"/>
      <c r="O13" s="487">
        <f t="shared" si="0"/>
        <v>0</v>
      </c>
    </row>
    <row r="14" spans="1:15">
      <c r="A14" s="485">
        <v>6050</v>
      </c>
      <c r="B14" s="486" t="s">
        <v>293</v>
      </c>
      <c r="C14" s="457">
        <v>49632.73</v>
      </c>
      <c r="D14" s="457">
        <v>54202.54</v>
      </c>
      <c r="E14" s="457">
        <v>69730.820000000007</v>
      </c>
      <c r="F14" s="457">
        <v>57741.83</v>
      </c>
      <c r="G14" s="457">
        <v>57968.62</v>
      </c>
      <c r="H14" s="457">
        <v>66199.210000000006</v>
      </c>
      <c r="I14" s="457">
        <v>57255.4</v>
      </c>
      <c r="J14" s="457">
        <v>58955.64</v>
      </c>
      <c r="K14" s="457"/>
      <c r="L14" s="457"/>
      <c r="M14" s="457"/>
      <c r="N14" s="457"/>
      <c r="O14" s="487">
        <f t="shared" si="0"/>
        <v>0</v>
      </c>
    </row>
    <row r="15" spans="1:15">
      <c r="A15" s="485">
        <v>6055</v>
      </c>
      <c r="B15" s="486" t="s">
        <v>294</v>
      </c>
      <c r="C15" s="457">
        <v>5542</v>
      </c>
      <c r="D15" s="457">
        <v>2776</v>
      </c>
      <c r="E15" s="457">
        <v>8462</v>
      </c>
      <c r="F15" s="457">
        <v>0</v>
      </c>
      <c r="G15" s="457">
        <v>2771</v>
      </c>
      <c r="H15" s="457">
        <v>2776</v>
      </c>
      <c r="I15" s="457">
        <v>2776</v>
      </c>
      <c r="J15" s="457">
        <v>5542</v>
      </c>
      <c r="K15" s="457"/>
      <c r="L15" s="457"/>
      <c r="M15" s="457"/>
      <c r="N15" s="457"/>
      <c r="O15" s="487">
        <f t="shared" si="0"/>
        <v>0</v>
      </c>
    </row>
    <row r="16" spans="1:15">
      <c r="A16" s="485">
        <v>6060</v>
      </c>
      <c r="B16" s="486" t="s">
        <v>295</v>
      </c>
      <c r="C16" s="457">
        <v>119138.55</v>
      </c>
      <c r="D16" s="457">
        <v>111720.04</v>
      </c>
      <c r="E16" s="457">
        <v>121927.44</v>
      </c>
      <c r="F16" s="457">
        <v>130984.29</v>
      </c>
      <c r="G16" s="457">
        <v>133027.10999999999</v>
      </c>
      <c r="H16" s="457">
        <v>132094.71</v>
      </c>
      <c r="I16" s="457">
        <v>131804.34</v>
      </c>
      <c r="J16" s="457">
        <v>132081.81</v>
      </c>
      <c r="K16" s="457"/>
      <c r="L16" s="457"/>
      <c r="M16" s="457"/>
      <c r="N16" s="457"/>
      <c r="O16" s="487">
        <f t="shared" si="0"/>
        <v>0</v>
      </c>
    </row>
    <row r="17" spans="1:15">
      <c r="A17" s="485">
        <v>6065</v>
      </c>
      <c r="B17" s="486" t="s">
        <v>296</v>
      </c>
      <c r="C17" s="457">
        <v>98565.05</v>
      </c>
      <c r="D17" s="457">
        <v>82621.89</v>
      </c>
      <c r="E17" s="457">
        <v>102246.02</v>
      </c>
      <c r="F17" s="457">
        <v>106377.66</v>
      </c>
      <c r="G17" s="457">
        <v>103913.26</v>
      </c>
      <c r="H17" s="457">
        <v>94542.15</v>
      </c>
      <c r="I17" s="457">
        <v>55130.6</v>
      </c>
      <c r="J17" s="457">
        <v>107038.88</v>
      </c>
      <c r="K17" s="457"/>
      <c r="L17" s="457"/>
      <c r="M17" s="457"/>
      <c r="N17" s="457"/>
      <c r="O17" s="487">
        <f t="shared" si="0"/>
        <v>0</v>
      </c>
    </row>
    <row r="18" spans="1:15">
      <c r="A18" s="485">
        <v>6070</v>
      </c>
      <c r="B18" s="486" t="s">
        <v>297</v>
      </c>
      <c r="C18" s="457">
        <v>0</v>
      </c>
      <c r="D18" s="457">
        <v>0</v>
      </c>
      <c r="E18" s="457">
        <v>0</v>
      </c>
      <c r="F18" s="457">
        <v>0</v>
      </c>
      <c r="G18" s="457"/>
      <c r="H18" s="457"/>
      <c r="I18" s="457"/>
      <c r="J18" s="457"/>
      <c r="K18" s="457"/>
      <c r="L18" s="457"/>
      <c r="M18" s="457"/>
      <c r="N18" s="457"/>
      <c r="O18" s="487">
        <f t="shared" si="0"/>
        <v>0</v>
      </c>
    </row>
    <row r="19" spans="1:15">
      <c r="A19" s="485">
        <v>7766</v>
      </c>
      <c r="B19" s="486" t="s">
        <v>298</v>
      </c>
      <c r="C19" s="457">
        <v>3723</v>
      </c>
      <c r="D19" s="457">
        <v>0</v>
      </c>
      <c r="E19" s="457">
        <v>0</v>
      </c>
      <c r="F19" s="457">
        <v>4768</v>
      </c>
      <c r="G19" s="457"/>
      <c r="H19" s="457"/>
      <c r="I19" s="457"/>
      <c r="J19" s="457"/>
      <c r="K19" s="488"/>
      <c r="L19" s="457"/>
      <c r="M19" s="457"/>
      <c r="N19" s="457"/>
      <c r="O19" s="487">
        <f t="shared" si="0"/>
        <v>0</v>
      </c>
    </row>
    <row r="20" spans="1:15">
      <c r="A20" s="485">
        <v>7770</v>
      </c>
      <c r="B20" s="486" t="s">
        <v>299</v>
      </c>
      <c r="C20" s="457">
        <v>0</v>
      </c>
      <c r="D20" s="457">
        <v>0</v>
      </c>
      <c r="E20" s="457">
        <v>0</v>
      </c>
      <c r="F20" s="457">
        <v>0</v>
      </c>
      <c r="G20" s="457"/>
      <c r="H20" s="457"/>
      <c r="I20" s="457"/>
      <c r="J20" s="457"/>
      <c r="K20" s="457"/>
      <c r="L20" s="457"/>
      <c r="M20" s="457"/>
      <c r="N20" s="457"/>
      <c r="O20" s="487">
        <f t="shared" si="0"/>
        <v>0</v>
      </c>
    </row>
    <row r="21" spans="1:15" ht="15.75" customHeight="1">
      <c r="B21" s="480"/>
      <c r="C21" s="489">
        <f t="shared" ref="C21:O21" si="1">SUM(C6:C20)</f>
        <v>956425.75</v>
      </c>
      <c r="D21" s="489">
        <f t="shared" si="1"/>
        <v>986938.22000000009</v>
      </c>
      <c r="E21" s="489">
        <f t="shared" si="1"/>
        <v>1239949.75</v>
      </c>
      <c r="F21" s="489">
        <f t="shared" si="1"/>
        <v>1082408.33</v>
      </c>
      <c r="G21" s="489">
        <f t="shared" si="1"/>
        <v>1083544.67</v>
      </c>
      <c r="H21" s="489">
        <f t="shared" si="1"/>
        <v>1189137.3599999999</v>
      </c>
      <c r="I21" s="490">
        <f t="shared" si="1"/>
        <v>992932.91999999993</v>
      </c>
      <c r="J21" s="489">
        <f t="shared" si="1"/>
        <v>1081215.71</v>
      </c>
      <c r="K21" s="489">
        <f t="shared" si="1"/>
        <v>0</v>
      </c>
      <c r="L21" s="489">
        <f t="shared" si="1"/>
        <v>0</v>
      </c>
      <c r="M21" s="489">
        <f t="shared" si="1"/>
        <v>0</v>
      </c>
      <c r="N21" s="489">
        <f t="shared" si="1"/>
        <v>0</v>
      </c>
      <c r="O21" s="489">
        <f t="shared" si="1"/>
        <v>0</v>
      </c>
    </row>
    <row r="22" spans="1:15" ht="15.75" customHeight="1">
      <c r="B22" s="480" t="s">
        <v>300</v>
      </c>
      <c r="C22" s="269">
        <v>0</v>
      </c>
      <c r="D22" s="269">
        <v>0</v>
      </c>
      <c r="E22" s="269">
        <v>0</v>
      </c>
      <c r="F22" s="269">
        <v>0</v>
      </c>
      <c r="H22" s="269">
        <v>0</v>
      </c>
      <c r="I22" s="269">
        <v>0</v>
      </c>
      <c r="J22" s="269"/>
      <c r="K22" s="269"/>
      <c r="L22" s="269"/>
      <c r="M22" s="269"/>
      <c r="N22" s="269"/>
    </row>
    <row r="23" spans="1:15" ht="15.75" customHeight="1">
      <c r="J23" s="269"/>
      <c r="K23" s="269"/>
      <c r="L23" s="269"/>
      <c r="M23" s="269"/>
      <c r="N23" s="269"/>
    </row>
    <row r="24" spans="1:15" ht="15.75" customHeight="1">
      <c r="B24" s="480" t="s">
        <v>301</v>
      </c>
      <c r="C24" s="491">
        <f>'Cash Flow - Actual'!D20</f>
        <v>956425.75</v>
      </c>
      <c r="D24" s="491">
        <f>'Cash Flow - Actual'!E20</f>
        <v>986938.22</v>
      </c>
      <c r="E24" s="491">
        <f>'Cash Flow - Actual'!F20</f>
        <v>1239949.75</v>
      </c>
      <c r="F24" s="491">
        <f>'Cash Flow - Actual'!G20</f>
        <v>1082408.33</v>
      </c>
      <c r="G24" s="491">
        <f>'Cash Flow - Actual'!H20</f>
        <v>1083544.67</v>
      </c>
      <c r="H24" s="491">
        <f>'Cash Flow - Actual'!I20</f>
        <v>1189137.3600000001</v>
      </c>
      <c r="I24" s="492">
        <f>'Cash Flow - Actual'!J20</f>
        <v>992932.92</v>
      </c>
      <c r="J24" s="492">
        <f>'Cash Flow - Actual'!K20</f>
        <v>1081703.8999999999</v>
      </c>
      <c r="K24" s="492">
        <f>'Cash Flow - Actual'!L20</f>
        <v>0</v>
      </c>
      <c r="L24" s="492">
        <f>'Cash Flow - Actual'!M20</f>
        <v>0</v>
      </c>
      <c r="M24" s="492">
        <f>'Cash Flow - Actual'!N20</f>
        <v>0</v>
      </c>
      <c r="N24" s="492">
        <f>'Cash Flow - Actual'!O20</f>
        <v>0</v>
      </c>
      <c r="O24" s="269">
        <f>SUM(O21:O23)</f>
        <v>0</v>
      </c>
    </row>
    <row r="25" spans="1:15" ht="15.75" customHeight="1">
      <c r="B25" s="480" t="s">
        <v>114</v>
      </c>
      <c r="C25" s="457">
        <f t="shared" ref="C25:I25" si="2">C24-C21</f>
        <v>0</v>
      </c>
      <c r="D25" s="457">
        <f t="shared" si="2"/>
        <v>0</v>
      </c>
      <c r="E25" s="491">
        <f t="shared" si="2"/>
        <v>0</v>
      </c>
      <c r="F25" s="491">
        <f t="shared" si="2"/>
        <v>0</v>
      </c>
      <c r="G25" s="491">
        <f t="shared" si="2"/>
        <v>0</v>
      </c>
      <c r="H25" s="491">
        <f t="shared" si="2"/>
        <v>0</v>
      </c>
      <c r="I25" s="491">
        <f t="shared" si="2"/>
        <v>0</v>
      </c>
      <c r="J25" s="491" t="s">
        <v>302</v>
      </c>
      <c r="K25" s="491">
        <f t="shared" ref="K25:N25" si="3">K24-K21</f>
        <v>0</v>
      </c>
      <c r="L25" s="491">
        <f t="shared" si="3"/>
        <v>0</v>
      </c>
      <c r="M25" s="491">
        <f t="shared" si="3"/>
        <v>0</v>
      </c>
      <c r="N25" s="491">
        <f t="shared" si="3"/>
        <v>0</v>
      </c>
    </row>
    <row r="26" spans="1:15" ht="15.75" customHeight="1">
      <c r="J26" s="269"/>
      <c r="K26" s="269"/>
      <c r="L26" s="269"/>
      <c r="M26" s="269"/>
      <c r="N26" s="269"/>
    </row>
    <row r="27" spans="1:15" ht="15.75" customHeight="1">
      <c r="J27" s="269"/>
      <c r="K27" s="269"/>
      <c r="L27" s="269"/>
      <c r="M27" s="269"/>
      <c r="N27" s="269"/>
    </row>
    <row r="28" spans="1:15" ht="15.75" customHeight="1">
      <c r="J28" s="269"/>
      <c r="K28" s="269"/>
      <c r="L28" s="269"/>
      <c r="M28" s="269"/>
      <c r="N28" s="269"/>
    </row>
    <row r="29" spans="1:15" ht="15.75" customHeight="1">
      <c r="I29" s="269"/>
    </row>
    <row r="30" spans="1:15" ht="15.75" customHeight="1">
      <c r="I30" s="269"/>
    </row>
    <row r="31" spans="1:15" ht="15.75" customHeight="1">
      <c r="I31" s="269"/>
    </row>
    <row r="32" spans="1:15" ht="15.75" customHeight="1">
      <c r="I32" s="269"/>
    </row>
    <row r="33" spans="8:14" ht="15.75" customHeight="1">
      <c r="H33" s="269"/>
      <c r="J33" s="269"/>
      <c r="K33" s="269"/>
      <c r="L33" s="269"/>
      <c r="M33" s="269"/>
      <c r="N33" s="269"/>
    </row>
    <row r="34" spans="8:14" ht="15.75" customHeight="1">
      <c r="H34" s="269"/>
      <c r="J34" s="269"/>
      <c r="K34" s="269"/>
      <c r="L34" s="269"/>
      <c r="M34" s="269"/>
      <c r="N34" s="269"/>
    </row>
    <row r="35" spans="8:14" ht="15.75" customHeight="1">
      <c r="J35" s="269"/>
      <c r="K35" s="269"/>
      <c r="L35" s="269"/>
      <c r="M35" s="269"/>
      <c r="N35" s="269"/>
    </row>
    <row r="36" spans="8:14" ht="15.75" customHeight="1">
      <c r="J36" s="269"/>
      <c r="K36" s="269"/>
      <c r="L36" s="269"/>
      <c r="M36" s="269"/>
      <c r="N36" s="269"/>
    </row>
    <row r="37" spans="8:14" ht="15.75" customHeight="1">
      <c r="J37" s="269"/>
      <c r="K37" s="269"/>
      <c r="L37" s="269"/>
      <c r="M37" s="269"/>
      <c r="N37" s="269"/>
    </row>
    <row r="38" spans="8:14" ht="15.75" customHeight="1">
      <c r="J38" s="269"/>
      <c r="K38" s="269"/>
      <c r="L38" s="269"/>
      <c r="M38" s="269"/>
      <c r="N38" s="269"/>
    </row>
    <row r="39" spans="8:14" ht="15.75" customHeight="1">
      <c r="J39" s="269"/>
      <c r="K39" s="269"/>
      <c r="L39" s="269"/>
      <c r="M39" s="269"/>
      <c r="N39" s="269"/>
    </row>
    <row r="40" spans="8:14" ht="15.75" customHeight="1">
      <c r="J40" s="269"/>
      <c r="K40" s="269"/>
      <c r="L40" s="269"/>
      <c r="M40" s="269"/>
      <c r="N40" s="269"/>
    </row>
    <row r="41" spans="8:14" ht="15.75" customHeight="1">
      <c r="J41" s="269"/>
      <c r="K41" s="269"/>
      <c r="L41" s="269"/>
      <c r="M41" s="269"/>
      <c r="N41" s="269"/>
    </row>
    <row r="42" spans="8:14" ht="15.75" customHeight="1">
      <c r="J42" s="269"/>
      <c r="K42" s="269"/>
      <c r="L42" s="269"/>
      <c r="M42" s="269"/>
      <c r="N42" s="269"/>
    </row>
    <row r="43" spans="8:14" ht="15.75" customHeight="1">
      <c r="J43" s="269"/>
      <c r="K43" s="269"/>
      <c r="L43" s="269"/>
      <c r="M43" s="269"/>
      <c r="N43" s="269"/>
    </row>
    <row r="44" spans="8:14" ht="15.75" customHeight="1">
      <c r="J44" s="269"/>
      <c r="K44" s="269"/>
      <c r="L44" s="269"/>
      <c r="M44" s="269"/>
      <c r="N44" s="269"/>
    </row>
    <row r="45" spans="8:14" ht="15.75" customHeight="1">
      <c r="J45" s="269"/>
      <c r="K45" s="269"/>
      <c r="L45" s="269"/>
      <c r="M45" s="269"/>
      <c r="N45" s="269"/>
    </row>
    <row r="46" spans="8:14" ht="15.75" customHeight="1">
      <c r="J46" s="269"/>
      <c r="K46" s="269"/>
      <c r="L46" s="269"/>
      <c r="M46" s="269"/>
      <c r="N46" s="269"/>
    </row>
    <row r="47" spans="8:14" ht="15.75" customHeight="1">
      <c r="J47" s="269"/>
      <c r="K47" s="269"/>
      <c r="L47" s="269"/>
      <c r="M47" s="269"/>
      <c r="N47" s="269"/>
    </row>
    <row r="48" spans="8:14" ht="15.75" customHeight="1">
      <c r="J48" s="269"/>
      <c r="K48" s="269"/>
      <c r="L48" s="269"/>
      <c r="M48" s="269"/>
      <c r="N48" s="269"/>
    </row>
    <row r="49" spans="10:14" ht="15.75" customHeight="1">
      <c r="J49" s="269"/>
      <c r="K49" s="269"/>
      <c r="L49" s="269"/>
      <c r="M49" s="269"/>
      <c r="N49" s="269"/>
    </row>
    <row r="50" spans="10:14" ht="15.75" customHeight="1">
      <c r="J50" s="269"/>
      <c r="K50" s="269"/>
      <c r="L50" s="269"/>
      <c r="M50" s="269"/>
      <c r="N50" s="269"/>
    </row>
    <row r="51" spans="10:14" ht="15.75" customHeight="1">
      <c r="J51" s="269"/>
      <c r="K51" s="269"/>
      <c r="L51" s="269"/>
      <c r="M51" s="269"/>
      <c r="N51" s="269"/>
    </row>
    <row r="52" spans="10:14" ht="15.75" customHeight="1">
      <c r="J52" s="269"/>
      <c r="K52" s="269"/>
      <c r="L52" s="269"/>
      <c r="M52" s="269"/>
      <c r="N52" s="269"/>
    </row>
    <row r="53" spans="10:14" ht="15.75" customHeight="1">
      <c r="J53" s="269"/>
      <c r="K53" s="269"/>
      <c r="L53" s="269"/>
      <c r="M53" s="269"/>
      <c r="N53" s="269"/>
    </row>
    <row r="54" spans="10:14" ht="15.75" customHeight="1">
      <c r="J54" s="269"/>
      <c r="K54" s="269"/>
      <c r="L54" s="269"/>
      <c r="M54" s="269"/>
      <c r="N54" s="269"/>
    </row>
    <row r="55" spans="10:14" ht="15.75" customHeight="1">
      <c r="J55" s="269"/>
      <c r="K55" s="269"/>
      <c r="L55" s="269"/>
      <c r="M55" s="269"/>
      <c r="N55" s="269"/>
    </row>
    <row r="56" spans="10:14" ht="15.75" customHeight="1">
      <c r="J56" s="269"/>
      <c r="K56" s="269"/>
      <c r="L56" s="269"/>
      <c r="M56" s="269"/>
      <c r="N56" s="269"/>
    </row>
    <row r="57" spans="10:14" ht="15.75" customHeight="1">
      <c r="J57" s="269"/>
      <c r="K57" s="269"/>
      <c r="L57" s="269"/>
      <c r="M57" s="269"/>
      <c r="N57" s="269"/>
    </row>
    <row r="58" spans="10:14" ht="15.75" customHeight="1">
      <c r="J58" s="269"/>
      <c r="K58" s="269"/>
      <c r="L58" s="269"/>
      <c r="M58" s="269"/>
      <c r="N58" s="269"/>
    </row>
    <row r="59" spans="10:14" ht="15.75" customHeight="1">
      <c r="J59" s="269"/>
      <c r="K59" s="269"/>
      <c r="L59" s="269"/>
      <c r="M59" s="269"/>
      <c r="N59" s="269"/>
    </row>
    <row r="60" spans="10:14" ht="15.75" customHeight="1">
      <c r="J60" s="269"/>
      <c r="K60" s="269"/>
      <c r="L60" s="269"/>
      <c r="M60" s="269"/>
      <c r="N60" s="269"/>
    </row>
    <row r="61" spans="10:14" ht="15.75" customHeight="1">
      <c r="J61" s="269"/>
      <c r="K61" s="269"/>
      <c r="L61" s="269"/>
      <c r="M61" s="269"/>
      <c r="N61" s="269"/>
    </row>
    <row r="62" spans="10:14" ht="15.75" customHeight="1">
      <c r="J62" s="269"/>
      <c r="K62" s="269"/>
      <c r="L62" s="269"/>
      <c r="M62" s="269"/>
      <c r="N62" s="269"/>
    </row>
    <row r="63" spans="10:14" ht="15.75" customHeight="1">
      <c r="J63" s="269"/>
      <c r="K63" s="269"/>
      <c r="L63" s="269"/>
      <c r="M63" s="269"/>
      <c r="N63" s="269"/>
    </row>
    <row r="64" spans="10:14" ht="15.75" customHeight="1">
      <c r="J64" s="269"/>
      <c r="K64" s="269"/>
      <c r="L64" s="269"/>
      <c r="M64" s="269"/>
      <c r="N64" s="269"/>
    </row>
    <row r="65" spans="10:14" ht="15.75" customHeight="1">
      <c r="J65" s="269"/>
      <c r="K65" s="269"/>
      <c r="L65" s="269"/>
      <c r="M65" s="269"/>
      <c r="N65" s="269"/>
    </row>
    <row r="66" spans="10:14" ht="15.75" customHeight="1">
      <c r="J66" s="269"/>
      <c r="K66" s="269"/>
      <c r="L66" s="269"/>
      <c r="M66" s="269"/>
      <c r="N66" s="269"/>
    </row>
    <row r="67" spans="10:14" ht="15.75" customHeight="1">
      <c r="J67" s="269"/>
      <c r="K67" s="269"/>
      <c r="L67" s="269"/>
      <c r="M67" s="269"/>
      <c r="N67" s="269"/>
    </row>
    <row r="68" spans="10:14" ht="15.75" customHeight="1">
      <c r="J68" s="269"/>
      <c r="K68" s="269"/>
      <c r="L68" s="269"/>
      <c r="M68" s="269"/>
      <c r="N68" s="269"/>
    </row>
    <row r="69" spans="10:14" ht="15.75" customHeight="1">
      <c r="J69" s="269"/>
      <c r="K69" s="269"/>
      <c r="L69" s="269"/>
      <c r="M69" s="269"/>
      <c r="N69" s="269"/>
    </row>
    <row r="70" spans="10:14" ht="15.75" customHeight="1">
      <c r="J70" s="269"/>
      <c r="K70" s="269"/>
      <c r="L70" s="269"/>
      <c r="M70" s="269"/>
      <c r="N70" s="269"/>
    </row>
    <row r="71" spans="10:14" ht="15.75" customHeight="1">
      <c r="J71" s="269"/>
      <c r="K71" s="269"/>
      <c r="L71" s="269"/>
      <c r="M71" s="269"/>
      <c r="N71" s="269"/>
    </row>
    <row r="72" spans="10:14" ht="15.75" customHeight="1">
      <c r="J72" s="269"/>
      <c r="K72" s="269"/>
      <c r="L72" s="269"/>
      <c r="M72" s="269"/>
      <c r="N72" s="269"/>
    </row>
    <row r="73" spans="10:14" ht="15.75" customHeight="1">
      <c r="J73" s="269"/>
      <c r="K73" s="269"/>
      <c r="L73" s="269"/>
      <c r="M73" s="269"/>
      <c r="N73" s="269"/>
    </row>
    <row r="74" spans="10:14" ht="15.75" customHeight="1">
      <c r="J74" s="269"/>
      <c r="K74" s="269"/>
      <c r="L74" s="269"/>
      <c r="M74" s="269"/>
      <c r="N74" s="269"/>
    </row>
    <row r="75" spans="10:14" ht="15.75" customHeight="1">
      <c r="J75" s="269"/>
      <c r="K75" s="269"/>
      <c r="L75" s="269"/>
      <c r="M75" s="269"/>
      <c r="N75" s="269"/>
    </row>
    <row r="76" spans="10:14" ht="15.75" customHeight="1">
      <c r="J76" s="269"/>
      <c r="K76" s="269"/>
      <c r="L76" s="269"/>
      <c r="M76" s="269"/>
      <c r="N76" s="269"/>
    </row>
    <row r="77" spans="10:14" ht="15.75" customHeight="1">
      <c r="J77" s="269"/>
      <c r="K77" s="269"/>
      <c r="L77" s="269"/>
      <c r="M77" s="269"/>
      <c r="N77" s="269"/>
    </row>
    <row r="78" spans="10:14" ht="15.75" customHeight="1">
      <c r="J78" s="269"/>
      <c r="K78" s="269"/>
      <c r="L78" s="269"/>
      <c r="M78" s="269"/>
      <c r="N78" s="269"/>
    </row>
    <row r="79" spans="10:14" ht="15.75" customHeight="1">
      <c r="J79" s="269"/>
      <c r="K79" s="269"/>
      <c r="L79" s="269"/>
      <c r="M79" s="269"/>
      <c r="N79" s="269"/>
    </row>
    <row r="80" spans="10:14" ht="15.75" customHeight="1">
      <c r="J80" s="269"/>
      <c r="K80" s="269"/>
      <c r="L80" s="269"/>
      <c r="M80" s="269"/>
      <c r="N80" s="269"/>
    </row>
    <row r="81" spans="10:14" ht="15.75" customHeight="1">
      <c r="J81" s="269"/>
      <c r="K81" s="269"/>
      <c r="L81" s="269"/>
      <c r="M81" s="269"/>
      <c r="N81" s="269"/>
    </row>
    <row r="82" spans="10:14" ht="15.75" customHeight="1">
      <c r="J82" s="269"/>
      <c r="K82" s="269"/>
      <c r="L82" s="269"/>
      <c r="M82" s="269"/>
      <c r="N82" s="269"/>
    </row>
    <row r="83" spans="10:14" ht="15.75" customHeight="1">
      <c r="J83" s="269"/>
      <c r="K83" s="269"/>
      <c r="L83" s="269"/>
      <c r="M83" s="269"/>
      <c r="N83" s="269"/>
    </row>
    <row r="84" spans="10:14" ht="15.75" customHeight="1">
      <c r="J84" s="269"/>
      <c r="K84" s="269"/>
      <c r="L84" s="269"/>
      <c r="M84" s="269"/>
      <c r="N84" s="269"/>
    </row>
    <row r="85" spans="10:14" ht="15.75" customHeight="1">
      <c r="J85" s="269"/>
      <c r="K85" s="269"/>
      <c r="L85" s="269"/>
      <c r="M85" s="269"/>
      <c r="N85" s="269"/>
    </row>
    <row r="86" spans="10:14" ht="15.75" customHeight="1">
      <c r="J86" s="269"/>
      <c r="K86" s="269"/>
      <c r="L86" s="269"/>
      <c r="M86" s="269"/>
      <c r="N86" s="269"/>
    </row>
    <row r="87" spans="10:14" ht="15.75" customHeight="1">
      <c r="J87" s="269"/>
      <c r="K87" s="269"/>
      <c r="L87" s="269"/>
      <c r="M87" s="269"/>
      <c r="N87" s="269"/>
    </row>
    <row r="88" spans="10:14" ht="15.75" customHeight="1">
      <c r="J88" s="269"/>
      <c r="K88" s="269"/>
      <c r="L88" s="269"/>
      <c r="M88" s="269"/>
      <c r="N88" s="269"/>
    </row>
    <row r="89" spans="10:14" ht="15.75" customHeight="1">
      <c r="J89" s="269"/>
      <c r="K89" s="269"/>
      <c r="L89" s="269"/>
      <c r="M89" s="269"/>
      <c r="N89" s="269"/>
    </row>
    <row r="90" spans="10:14" ht="15.75" customHeight="1">
      <c r="J90" s="269"/>
      <c r="K90" s="269"/>
      <c r="L90" s="269"/>
      <c r="M90" s="269"/>
      <c r="N90" s="269"/>
    </row>
    <row r="91" spans="10:14" ht="15.75" customHeight="1">
      <c r="J91" s="269"/>
      <c r="K91" s="269"/>
      <c r="L91" s="269"/>
      <c r="M91" s="269"/>
      <c r="N91" s="269"/>
    </row>
    <row r="92" spans="10:14" ht="15.75" customHeight="1">
      <c r="J92" s="269"/>
      <c r="K92" s="269"/>
      <c r="L92" s="269"/>
      <c r="M92" s="269"/>
      <c r="N92" s="269"/>
    </row>
    <row r="93" spans="10:14" ht="15.75" customHeight="1">
      <c r="J93" s="269"/>
      <c r="K93" s="269"/>
      <c r="L93" s="269"/>
      <c r="M93" s="269"/>
      <c r="N93" s="269"/>
    </row>
    <row r="94" spans="10:14" ht="15.75" customHeight="1">
      <c r="J94" s="269"/>
      <c r="K94" s="269"/>
      <c r="L94" s="269"/>
      <c r="M94" s="269"/>
      <c r="N94" s="269"/>
    </row>
    <row r="95" spans="10:14" ht="15.75" customHeight="1">
      <c r="J95" s="269"/>
      <c r="K95" s="269"/>
      <c r="L95" s="269"/>
      <c r="M95" s="269"/>
      <c r="N95" s="269"/>
    </row>
    <row r="96" spans="10:14" ht="15.75" customHeight="1">
      <c r="J96" s="269"/>
      <c r="K96" s="269"/>
      <c r="L96" s="269"/>
      <c r="M96" s="269"/>
      <c r="N96" s="269"/>
    </row>
    <row r="97" spans="10:14" ht="15.75" customHeight="1">
      <c r="J97" s="269"/>
      <c r="K97" s="269"/>
      <c r="L97" s="269"/>
      <c r="M97" s="269"/>
      <c r="N97" s="269"/>
    </row>
    <row r="98" spans="10:14" ht="15.75" customHeight="1">
      <c r="J98" s="269"/>
      <c r="K98" s="269"/>
      <c r="L98" s="269"/>
      <c r="M98" s="269"/>
      <c r="N98" s="269"/>
    </row>
    <row r="99" spans="10:14" ht="15.75" customHeight="1">
      <c r="J99" s="269"/>
      <c r="K99" s="269"/>
      <c r="L99" s="269"/>
      <c r="M99" s="269"/>
      <c r="N99" s="269"/>
    </row>
    <row r="100" spans="10:14" ht="15.75" customHeight="1">
      <c r="J100" s="269"/>
      <c r="K100" s="269"/>
      <c r="L100" s="269"/>
      <c r="M100" s="269"/>
      <c r="N100" s="269"/>
    </row>
    <row r="101" spans="10:14" ht="15.75" customHeight="1">
      <c r="J101" s="269"/>
      <c r="K101" s="269"/>
      <c r="L101" s="269"/>
      <c r="M101" s="269"/>
      <c r="N101" s="269"/>
    </row>
    <row r="102" spans="10:14" ht="15.75" customHeight="1">
      <c r="J102" s="269"/>
      <c r="K102" s="269"/>
      <c r="L102" s="269"/>
      <c r="M102" s="269"/>
      <c r="N102" s="269"/>
    </row>
    <row r="103" spans="10:14" ht="15.75" customHeight="1">
      <c r="J103" s="269"/>
      <c r="K103" s="269"/>
      <c r="L103" s="269"/>
      <c r="M103" s="269"/>
      <c r="N103" s="269"/>
    </row>
    <row r="104" spans="10:14" ht="15.75" customHeight="1">
      <c r="J104" s="269"/>
      <c r="K104" s="269"/>
      <c r="L104" s="269"/>
      <c r="M104" s="269"/>
      <c r="N104" s="269"/>
    </row>
    <row r="105" spans="10:14" ht="15.75" customHeight="1">
      <c r="J105" s="269"/>
      <c r="K105" s="269"/>
      <c r="L105" s="269"/>
      <c r="M105" s="269"/>
      <c r="N105" s="269"/>
    </row>
    <row r="106" spans="10:14" ht="15.75" customHeight="1">
      <c r="J106" s="269"/>
      <c r="K106" s="269"/>
      <c r="L106" s="269"/>
      <c r="M106" s="269"/>
      <c r="N106" s="269"/>
    </row>
    <row r="107" spans="10:14" ht="15.75" customHeight="1">
      <c r="J107" s="269"/>
      <c r="K107" s="269"/>
      <c r="L107" s="269"/>
      <c r="M107" s="269"/>
      <c r="N107" s="269"/>
    </row>
    <row r="108" spans="10:14" ht="15.75" customHeight="1">
      <c r="J108" s="269"/>
      <c r="K108" s="269"/>
      <c r="L108" s="269"/>
      <c r="M108" s="269"/>
      <c r="N108" s="269"/>
    </row>
    <row r="109" spans="10:14" ht="15.75" customHeight="1">
      <c r="J109" s="269"/>
      <c r="K109" s="269"/>
      <c r="L109" s="269"/>
      <c r="M109" s="269"/>
      <c r="N109" s="269"/>
    </row>
    <row r="110" spans="10:14" ht="15.75" customHeight="1">
      <c r="J110" s="269"/>
      <c r="K110" s="269"/>
      <c r="L110" s="269"/>
      <c r="M110" s="269"/>
      <c r="N110" s="269"/>
    </row>
    <row r="111" spans="10:14" ht="15.75" customHeight="1">
      <c r="J111" s="269"/>
      <c r="K111" s="269"/>
      <c r="L111" s="269"/>
      <c r="M111" s="269"/>
      <c r="N111" s="269"/>
    </row>
    <row r="112" spans="10:14" ht="15.75" customHeight="1">
      <c r="J112" s="269"/>
      <c r="K112" s="269"/>
      <c r="L112" s="269"/>
      <c r="M112" s="269"/>
      <c r="N112" s="269"/>
    </row>
    <row r="113" spans="10:14" ht="15.75" customHeight="1">
      <c r="J113" s="269"/>
      <c r="K113" s="269"/>
      <c r="L113" s="269"/>
      <c r="M113" s="269"/>
      <c r="N113" s="269"/>
    </row>
    <row r="114" spans="10:14" ht="15.75" customHeight="1">
      <c r="J114" s="269"/>
      <c r="K114" s="269"/>
      <c r="L114" s="269"/>
      <c r="M114" s="269"/>
      <c r="N114" s="269"/>
    </row>
    <row r="115" spans="10:14" ht="15.75" customHeight="1">
      <c r="J115" s="269"/>
      <c r="K115" s="269"/>
      <c r="L115" s="269"/>
      <c r="M115" s="269"/>
      <c r="N115" s="269"/>
    </row>
    <row r="116" spans="10:14" ht="15.75" customHeight="1">
      <c r="J116" s="269"/>
      <c r="K116" s="269"/>
      <c r="L116" s="269"/>
      <c r="M116" s="269"/>
      <c r="N116" s="269"/>
    </row>
    <row r="117" spans="10:14" ht="15.75" customHeight="1">
      <c r="J117" s="269"/>
      <c r="K117" s="269"/>
      <c r="L117" s="269"/>
      <c r="M117" s="269"/>
      <c r="N117" s="269"/>
    </row>
    <row r="118" spans="10:14" ht="15.75" customHeight="1">
      <c r="J118" s="269"/>
      <c r="K118" s="269"/>
      <c r="L118" s="269"/>
      <c r="M118" s="269"/>
      <c r="N118" s="269"/>
    </row>
    <row r="119" spans="10:14" ht="15.75" customHeight="1">
      <c r="J119" s="269"/>
      <c r="K119" s="269"/>
      <c r="L119" s="269"/>
      <c r="M119" s="269"/>
      <c r="N119" s="269"/>
    </row>
    <row r="120" spans="10:14" ht="15.75" customHeight="1">
      <c r="J120" s="269"/>
      <c r="K120" s="269"/>
      <c r="L120" s="269"/>
      <c r="M120" s="269"/>
      <c r="N120" s="269"/>
    </row>
    <row r="121" spans="10:14" ht="15.75" customHeight="1">
      <c r="J121" s="269"/>
      <c r="K121" s="269"/>
      <c r="L121" s="269"/>
      <c r="M121" s="269"/>
      <c r="N121" s="269"/>
    </row>
    <row r="122" spans="10:14" ht="15.75" customHeight="1">
      <c r="J122" s="269"/>
      <c r="K122" s="269"/>
      <c r="L122" s="269"/>
      <c r="M122" s="269"/>
      <c r="N122" s="269"/>
    </row>
    <row r="123" spans="10:14" ht="15.75" customHeight="1">
      <c r="J123" s="269"/>
      <c r="K123" s="269"/>
      <c r="L123" s="269"/>
      <c r="M123" s="269"/>
      <c r="N123" s="269"/>
    </row>
    <row r="124" spans="10:14" ht="15.75" customHeight="1">
      <c r="J124" s="269"/>
      <c r="K124" s="269"/>
      <c r="L124" s="269"/>
      <c r="M124" s="269"/>
      <c r="N124" s="269"/>
    </row>
    <row r="125" spans="10:14" ht="15.75" customHeight="1">
      <c r="J125" s="269"/>
      <c r="K125" s="269"/>
      <c r="L125" s="269"/>
      <c r="M125" s="269"/>
      <c r="N125" s="269"/>
    </row>
    <row r="126" spans="10:14" ht="15.75" customHeight="1">
      <c r="J126" s="269"/>
      <c r="K126" s="269"/>
      <c r="L126" s="269"/>
      <c r="M126" s="269"/>
      <c r="N126" s="269"/>
    </row>
    <row r="127" spans="10:14" ht="15.75" customHeight="1">
      <c r="J127" s="269"/>
      <c r="K127" s="269"/>
      <c r="L127" s="269"/>
      <c r="M127" s="269"/>
      <c r="N127" s="269"/>
    </row>
    <row r="128" spans="10:14" ht="15.75" customHeight="1">
      <c r="J128" s="269"/>
      <c r="K128" s="269"/>
      <c r="L128" s="269"/>
      <c r="M128" s="269"/>
      <c r="N128" s="269"/>
    </row>
    <row r="129" spans="10:14" ht="15.75" customHeight="1">
      <c r="J129" s="269"/>
      <c r="K129" s="269"/>
      <c r="L129" s="269"/>
      <c r="M129" s="269"/>
      <c r="N129" s="269"/>
    </row>
    <row r="130" spans="10:14" ht="15.75" customHeight="1">
      <c r="J130" s="269"/>
      <c r="K130" s="269"/>
      <c r="L130" s="269"/>
      <c r="M130" s="269"/>
      <c r="N130" s="269"/>
    </row>
    <row r="131" spans="10:14" ht="15.75" customHeight="1">
      <c r="J131" s="269"/>
      <c r="K131" s="269"/>
      <c r="L131" s="269"/>
      <c r="M131" s="269"/>
      <c r="N131" s="269"/>
    </row>
    <row r="132" spans="10:14" ht="15.75" customHeight="1">
      <c r="J132" s="269"/>
      <c r="K132" s="269"/>
      <c r="L132" s="269"/>
      <c r="M132" s="269"/>
      <c r="N132" s="269"/>
    </row>
    <row r="133" spans="10:14" ht="15.75" customHeight="1">
      <c r="J133" s="269"/>
      <c r="K133" s="269"/>
      <c r="L133" s="269"/>
      <c r="M133" s="269"/>
      <c r="N133" s="269"/>
    </row>
    <row r="134" spans="10:14" ht="15.75" customHeight="1">
      <c r="J134" s="269"/>
      <c r="K134" s="269"/>
      <c r="L134" s="269"/>
      <c r="M134" s="269"/>
      <c r="N134" s="269"/>
    </row>
    <row r="135" spans="10:14" ht="15.75" customHeight="1">
      <c r="J135" s="269"/>
      <c r="K135" s="269"/>
      <c r="L135" s="269"/>
      <c r="M135" s="269"/>
      <c r="N135" s="269"/>
    </row>
    <row r="136" spans="10:14" ht="15.75" customHeight="1">
      <c r="J136" s="269"/>
      <c r="K136" s="269"/>
      <c r="L136" s="269"/>
      <c r="M136" s="269"/>
      <c r="N136" s="269"/>
    </row>
    <row r="137" spans="10:14" ht="15.75" customHeight="1">
      <c r="J137" s="269"/>
      <c r="K137" s="269"/>
      <c r="L137" s="269"/>
      <c r="M137" s="269"/>
      <c r="N137" s="269"/>
    </row>
    <row r="138" spans="10:14" ht="15.75" customHeight="1">
      <c r="J138" s="269"/>
      <c r="K138" s="269"/>
      <c r="L138" s="269"/>
      <c r="M138" s="269"/>
      <c r="N138" s="269"/>
    </row>
    <row r="139" spans="10:14" ht="15.75" customHeight="1">
      <c r="J139" s="269"/>
      <c r="K139" s="269"/>
      <c r="L139" s="269"/>
      <c r="M139" s="269"/>
      <c r="N139" s="269"/>
    </row>
    <row r="140" spans="10:14" ht="15.75" customHeight="1">
      <c r="J140" s="269"/>
      <c r="K140" s="269"/>
      <c r="L140" s="269"/>
      <c r="M140" s="269"/>
      <c r="N140" s="269"/>
    </row>
    <row r="141" spans="10:14" ht="15.75" customHeight="1">
      <c r="J141" s="269"/>
      <c r="K141" s="269"/>
      <c r="L141" s="269"/>
      <c r="M141" s="269"/>
      <c r="N141" s="269"/>
    </row>
    <row r="142" spans="10:14" ht="15.75" customHeight="1">
      <c r="J142" s="269"/>
      <c r="K142" s="269"/>
      <c r="L142" s="269"/>
      <c r="M142" s="269"/>
      <c r="N142" s="269"/>
    </row>
    <row r="143" spans="10:14" ht="15.75" customHeight="1">
      <c r="J143" s="269"/>
      <c r="K143" s="269"/>
      <c r="L143" s="269"/>
      <c r="M143" s="269"/>
      <c r="N143" s="269"/>
    </row>
    <row r="144" spans="10:14" ht="15.75" customHeight="1">
      <c r="J144" s="269"/>
      <c r="K144" s="269"/>
      <c r="L144" s="269"/>
      <c r="M144" s="269"/>
      <c r="N144" s="269"/>
    </row>
    <row r="145" spans="10:14" ht="15.75" customHeight="1">
      <c r="J145" s="269"/>
      <c r="K145" s="269"/>
      <c r="L145" s="269"/>
      <c r="M145" s="269"/>
      <c r="N145" s="269"/>
    </row>
    <row r="146" spans="10:14" ht="15.75" customHeight="1">
      <c r="J146" s="269"/>
      <c r="K146" s="269"/>
      <c r="L146" s="269"/>
      <c r="M146" s="269"/>
      <c r="N146" s="269"/>
    </row>
    <row r="147" spans="10:14" ht="15.75" customHeight="1">
      <c r="J147" s="269"/>
      <c r="K147" s="269"/>
      <c r="L147" s="269"/>
      <c r="M147" s="269"/>
      <c r="N147" s="269"/>
    </row>
    <row r="148" spans="10:14" ht="15.75" customHeight="1">
      <c r="J148" s="269"/>
      <c r="K148" s="269"/>
      <c r="L148" s="269"/>
      <c r="M148" s="269"/>
      <c r="N148" s="269"/>
    </row>
    <row r="149" spans="10:14" ht="15.75" customHeight="1">
      <c r="J149" s="269"/>
      <c r="K149" s="269"/>
      <c r="L149" s="269"/>
      <c r="M149" s="269"/>
      <c r="N149" s="269"/>
    </row>
    <row r="150" spans="10:14" ht="15.75" customHeight="1">
      <c r="J150" s="269"/>
      <c r="K150" s="269"/>
      <c r="L150" s="269"/>
      <c r="M150" s="269"/>
      <c r="N150" s="269"/>
    </row>
    <row r="151" spans="10:14" ht="15.75" customHeight="1">
      <c r="J151" s="269"/>
      <c r="K151" s="269"/>
      <c r="L151" s="269"/>
      <c r="M151" s="269"/>
      <c r="N151" s="269"/>
    </row>
    <row r="152" spans="10:14" ht="15.75" customHeight="1">
      <c r="J152" s="269"/>
      <c r="K152" s="269"/>
      <c r="L152" s="269"/>
      <c r="M152" s="269"/>
      <c r="N152" s="269"/>
    </row>
    <row r="153" spans="10:14" ht="15.75" customHeight="1">
      <c r="J153" s="269"/>
      <c r="K153" s="269"/>
      <c r="L153" s="269"/>
      <c r="M153" s="269"/>
      <c r="N153" s="269"/>
    </row>
    <row r="154" spans="10:14" ht="15.75" customHeight="1">
      <c r="J154" s="269"/>
      <c r="K154" s="269"/>
      <c r="L154" s="269"/>
      <c r="M154" s="269"/>
      <c r="N154" s="269"/>
    </row>
    <row r="155" spans="10:14" ht="15.75" customHeight="1">
      <c r="J155" s="269"/>
      <c r="K155" s="269"/>
      <c r="L155" s="269"/>
      <c r="M155" s="269"/>
      <c r="N155" s="269"/>
    </row>
    <row r="156" spans="10:14" ht="15.75" customHeight="1">
      <c r="J156" s="269"/>
      <c r="K156" s="269"/>
      <c r="L156" s="269"/>
      <c r="M156" s="269"/>
      <c r="N156" s="269"/>
    </row>
    <row r="157" spans="10:14" ht="15.75" customHeight="1">
      <c r="J157" s="269"/>
      <c r="K157" s="269"/>
      <c r="L157" s="269"/>
      <c r="M157" s="269"/>
      <c r="N157" s="269"/>
    </row>
    <row r="158" spans="10:14" ht="15.75" customHeight="1">
      <c r="J158" s="269"/>
      <c r="K158" s="269"/>
      <c r="L158" s="269"/>
      <c r="M158" s="269"/>
      <c r="N158" s="269"/>
    </row>
    <row r="159" spans="10:14" ht="15.75" customHeight="1">
      <c r="J159" s="269"/>
      <c r="K159" s="269"/>
      <c r="L159" s="269"/>
      <c r="M159" s="269"/>
      <c r="N159" s="269"/>
    </row>
    <row r="160" spans="10:14" ht="15.75" customHeight="1">
      <c r="J160" s="269"/>
      <c r="K160" s="269"/>
      <c r="L160" s="269"/>
      <c r="M160" s="269"/>
      <c r="N160" s="269"/>
    </row>
    <row r="161" spans="10:14" ht="15.75" customHeight="1">
      <c r="J161" s="269"/>
      <c r="K161" s="269"/>
      <c r="L161" s="269"/>
      <c r="M161" s="269"/>
      <c r="N161" s="269"/>
    </row>
    <row r="162" spans="10:14" ht="15.75" customHeight="1">
      <c r="J162" s="269"/>
      <c r="K162" s="269"/>
      <c r="L162" s="269"/>
      <c r="M162" s="269"/>
      <c r="N162" s="269"/>
    </row>
    <row r="163" spans="10:14" ht="15.75" customHeight="1">
      <c r="J163" s="269"/>
      <c r="K163" s="269"/>
      <c r="L163" s="269"/>
      <c r="M163" s="269"/>
      <c r="N163" s="269"/>
    </row>
    <row r="164" spans="10:14" ht="15.75" customHeight="1">
      <c r="J164" s="269"/>
      <c r="K164" s="269"/>
      <c r="L164" s="269"/>
      <c r="M164" s="269"/>
      <c r="N164" s="269"/>
    </row>
    <row r="165" spans="10:14" ht="15.75" customHeight="1">
      <c r="J165" s="269"/>
      <c r="K165" s="269"/>
      <c r="L165" s="269"/>
      <c r="M165" s="269"/>
      <c r="N165" s="269"/>
    </row>
    <row r="166" spans="10:14" ht="15.75" customHeight="1">
      <c r="J166" s="269"/>
      <c r="K166" s="269"/>
      <c r="L166" s="269"/>
      <c r="M166" s="269"/>
      <c r="N166" s="269"/>
    </row>
    <row r="167" spans="10:14" ht="15.75" customHeight="1">
      <c r="J167" s="269"/>
      <c r="K167" s="269"/>
      <c r="L167" s="269"/>
      <c r="M167" s="269"/>
      <c r="N167" s="269"/>
    </row>
    <row r="168" spans="10:14" ht="15.75" customHeight="1">
      <c r="J168" s="269"/>
      <c r="K168" s="269"/>
      <c r="L168" s="269"/>
      <c r="M168" s="269"/>
      <c r="N168" s="269"/>
    </row>
    <row r="169" spans="10:14" ht="15.75" customHeight="1">
      <c r="J169" s="269"/>
      <c r="K169" s="269"/>
      <c r="L169" s="269"/>
      <c r="M169" s="269"/>
      <c r="N169" s="269"/>
    </row>
    <row r="170" spans="10:14" ht="15.75" customHeight="1">
      <c r="J170" s="269"/>
      <c r="K170" s="269"/>
      <c r="L170" s="269"/>
      <c r="M170" s="269"/>
      <c r="N170" s="269"/>
    </row>
    <row r="171" spans="10:14" ht="15.75" customHeight="1">
      <c r="J171" s="269"/>
      <c r="K171" s="269"/>
      <c r="L171" s="269"/>
      <c r="M171" s="269"/>
      <c r="N171" s="269"/>
    </row>
    <row r="172" spans="10:14" ht="15.75" customHeight="1">
      <c r="J172" s="269"/>
      <c r="K172" s="269"/>
      <c r="L172" s="269"/>
      <c r="M172" s="269"/>
      <c r="N172" s="269"/>
    </row>
    <row r="173" spans="10:14" ht="15.75" customHeight="1">
      <c r="J173" s="269"/>
      <c r="K173" s="269"/>
      <c r="L173" s="269"/>
      <c r="M173" s="269"/>
      <c r="N173" s="269"/>
    </row>
    <row r="174" spans="10:14" ht="15.75" customHeight="1">
      <c r="J174" s="269"/>
      <c r="K174" s="269"/>
      <c r="L174" s="269"/>
      <c r="M174" s="269"/>
      <c r="N174" s="269"/>
    </row>
    <row r="175" spans="10:14" ht="15.75" customHeight="1">
      <c r="J175" s="269"/>
      <c r="K175" s="269"/>
      <c r="L175" s="269"/>
      <c r="M175" s="269"/>
      <c r="N175" s="269"/>
    </row>
    <row r="176" spans="10:14" ht="15.75" customHeight="1">
      <c r="J176" s="269"/>
      <c r="K176" s="269"/>
      <c r="L176" s="269"/>
      <c r="M176" s="269"/>
      <c r="N176" s="269"/>
    </row>
    <row r="177" spans="10:14" ht="15.75" customHeight="1">
      <c r="J177" s="269"/>
      <c r="K177" s="269"/>
      <c r="L177" s="269"/>
      <c r="M177" s="269"/>
      <c r="N177" s="269"/>
    </row>
    <row r="178" spans="10:14" ht="15.75" customHeight="1">
      <c r="J178" s="269"/>
      <c r="K178" s="269"/>
      <c r="L178" s="269"/>
      <c r="M178" s="269"/>
      <c r="N178" s="269"/>
    </row>
    <row r="179" spans="10:14" ht="15.75" customHeight="1">
      <c r="J179" s="269"/>
      <c r="K179" s="269"/>
      <c r="L179" s="269"/>
      <c r="M179" s="269"/>
      <c r="N179" s="269"/>
    </row>
    <row r="180" spans="10:14" ht="15.75" customHeight="1">
      <c r="J180" s="269"/>
      <c r="K180" s="269"/>
      <c r="L180" s="269"/>
      <c r="M180" s="269"/>
      <c r="N180" s="269"/>
    </row>
    <row r="181" spans="10:14" ht="15.75" customHeight="1">
      <c r="J181" s="269"/>
      <c r="K181" s="269"/>
      <c r="L181" s="269"/>
      <c r="M181" s="269"/>
      <c r="N181" s="269"/>
    </row>
    <row r="182" spans="10:14" ht="15.75" customHeight="1">
      <c r="J182" s="269"/>
      <c r="K182" s="269"/>
      <c r="L182" s="269"/>
      <c r="M182" s="269"/>
      <c r="N182" s="269"/>
    </row>
    <row r="183" spans="10:14" ht="15.75" customHeight="1">
      <c r="J183" s="269"/>
      <c r="K183" s="269"/>
      <c r="L183" s="269"/>
      <c r="M183" s="269"/>
      <c r="N183" s="269"/>
    </row>
    <row r="184" spans="10:14" ht="15.75" customHeight="1">
      <c r="J184" s="269"/>
      <c r="K184" s="269"/>
      <c r="L184" s="269"/>
      <c r="M184" s="269"/>
      <c r="N184" s="269"/>
    </row>
    <row r="185" spans="10:14" ht="15.75" customHeight="1">
      <c r="J185" s="269"/>
      <c r="K185" s="269"/>
      <c r="L185" s="269"/>
      <c r="M185" s="269"/>
      <c r="N185" s="269"/>
    </row>
    <row r="186" spans="10:14" ht="15.75" customHeight="1">
      <c r="J186" s="269"/>
      <c r="K186" s="269"/>
      <c r="L186" s="269"/>
      <c r="M186" s="269"/>
      <c r="N186" s="269"/>
    </row>
    <row r="187" spans="10:14" ht="15.75" customHeight="1">
      <c r="J187" s="269"/>
      <c r="K187" s="269"/>
      <c r="L187" s="269"/>
      <c r="M187" s="269"/>
      <c r="N187" s="269"/>
    </row>
    <row r="188" spans="10:14" ht="15.75" customHeight="1">
      <c r="J188" s="269"/>
      <c r="K188" s="269"/>
      <c r="L188" s="269"/>
      <c r="M188" s="269"/>
      <c r="N188" s="269"/>
    </row>
    <row r="189" spans="10:14" ht="15.75" customHeight="1">
      <c r="J189" s="269"/>
      <c r="K189" s="269"/>
      <c r="L189" s="269"/>
      <c r="M189" s="269"/>
      <c r="N189" s="269"/>
    </row>
    <row r="190" spans="10:14" ht="15.75" customHeight="1">
      <c r="J190" s="269"/>
      <c r="K190" s="269"/>
      <c r="L190" s="269"/>
      <c r="M190" s="269"/>
      <c r="N190" s="269"/>
    </row>
    <row r="191" spans="10:14" ht="15.75" customHeight="1">
      <c r="J191" s="269"/>
      <c r="K191" s="269"/>
      <c r="L191" s="269"/>
      <c r="M191" s="269"/>
      <c r="N191" s="269"/>
    </row>
    <row r="192" spans="10:14" ht="15.75" customHeight="1">
      <c r="J192" s="269"/>
      <c r="K192" s="269"/>
      <c r="L192" s="269"/>
      <c r="M192" s="269"/>
      <c r="N192" s="269"/>
    </row>
    <row r="193" spans="10:14" ht="15.75" customHeight="1">
      <c r="J193" s="269"/>
      <c r="K193" s="269"/>
      <c r="L193" s="269"/>
      <c r="M193" s="269"/>
      <c r="N193" s="269"/>
    </row>
    <row r="194" spans="10:14" ht="15.75" customHeight="1">
      <c r="J194" s="269"/>
      <c r="K194" s="269"/>
      <c r="L194" s="269"/>
      <c r="M194" s="269"/>
      <c r="N194" s="269"/>
    </row>
    <row r="195" spans="10:14" ht="15.75" customHeight="1">
      <c r="J195" s="269"/>
      <c r="K195" s="269"/>
      <c r="L195" s="269"/>
      <c r="M195" s="269"/>
      <c r="N195" s="269"/>
    </row>
    <row r="196" spans="10:14" ht="15.75" customHeight="1">
      <c r="J196" s="269"/>
      <c r="K196" s="269"/>
      <c r="L196" s="269"/>
      <c r="M196" s="269"/>
      <c r="N196" s="269"/>
    </row>
    <row r="197" spans="10:14" ht="15.75" customHeight="1">
      <c r="J197" s="269"/>
      <c r="K197" s="269"/>
      <c r="L197" s="269"/>
      <c r="M197" s="269"/>
      <c r="N197" s="269"/>
    </row>
    <row r="198" spans="10:14" ht="15.75" customHeight="1">
      <c r="J198" s="269"/>
      <c r="K198" s="269"/>
      <c r="L198" s="269"/>
      <c r="M198" s="269"/>
      <c r="N198" s="269"/>
    </row>
    <row r="199" spans="10:14" ht="15.75" customHeight="1">
      <c r="J199" s="269"/>
      <c r="K199" s="269"/>
      <c r="L199" s="269"/>
      <c r="M199" s="269"/>
      <c r="N199" s="269"/>
    </row>
    <row r="200" spans="10:14" ht="15.75" customHeight="1">
      <c r="J200" s="269"/>
      <c r="K200" s="269"/>
      <c r="L200" s="269"/>
      <c r="M200" s="269"/>
      <c r="N200" s="269"/>
    </row>
    <row r="201" spans="10:14" ht="15.75" customHeight="1">
      <c r="J201" s="269"/>
      <c r="K201" s="269"/>
      <c r="L201" s="269"/>
      <c r="M201" s="269"/>
      <c r="N201" s="269"/>
    </row>
    <row r="202" spans="10:14" ht="15.75" customHeight="1">
      <c r="J202" s="269"/>
      <c r="K202" s="269"/>
      <c r="L202" s="269"/>
      <c r="M202" s="269"/>
      <c r="N202" s="269"/>
    </row>
    <row r="203" spans="10:14" ht="15.75" customHeight="1">
      <c r="J203" s="269"/>
      <c r="K203" s="269"/>
      <c r="L203" s="269"/>
      <c r="M203" s="269"/>
      <c r="N203" s="269"/>
    </row>
    <row r="204" spans="10:14" ht="15.75" customHeight="1">
      <c r="J204" s="269"/>
      <c r="K204" s="269"/>
      <c r="L204" s="269"/>
      <c r="M204" s="269"/>
      <c r="N204" s="269"/>
    </row>
    <row r="205" spans="10:14" ht="15.75" customHeight="1">
      <c r="J205" s="269"/>
      <c r="K205" s="269"/>
      <c r="L205" s="269"/>
      <c r="M205" s="269"/>
      <c r="N205" s="269"/>
    </row>
    <row r="206" spans="10:14" ht="15.75" customHeight="1">
      <c r="J206" s="269"/>
      <c r="K206" s="269"/>
      <c r="L206" s="269"/>
      <c r="M206" s="269"/>
      <c r="N206" s="269"/>
    </row>
    <row r="207" spans="10:14" ht="15.75" customHeight="1">
      <c r="J207" s="269"/>
      <c r="K207" s="269"/>
      <c r="L207" s="269"/>
      <c r="M207" s="269"/>
      <c r="N207" s="269"/>
    </row>
    <row r="208" spans="10:14" ht="15.75" customHeight="1">
      <c r="J208" s="269"/>
      <c r="K208" s="269"/>
      <c r="L208" s="269"/>
      <c r="M208" s="269"/>
      <c r="N208" s="269"/>
    </row>
    <row r="209" spans="10:14" ht="15.75" customHeight="1">
      <c r="J209" s="269"/>
      <c r="K209" s="269"/>
      <c r="L209" s="269"/>
      <c r="M209" s="269"/>
      <c r="N209" s="269"/>
    </row>
    <row r="210" spans="10:14" ht="15.75" customHeight="1">
      <c r="J210" s="269"/>
      <c r="K210" s="269"/>
      <c r="L210" s="269"/>
      <c r="M210" s="269"/>
      <c r="N210" s="269"/>
    </row>
    <row r="211" spans="10:14" ht="15.75" customHeight="1">
      <c r="J211" s="269"/>
      <c r="K211" s="269"/>
      <c r="L211" s="269"/>
      <c r="M211" s="269"/>
      <c r="N211" s="269"/>
    </row>
    <row r="212" spans="10:14" ht="15.75" customHeight="1">
      <c r="J212" s="269"/>
      <c r="K212" s="269"/>
      <c r="L212" s="269"/>
      <c r="M212" s="269"/>
      <c r="N212" s="269"/>
    </row>
    <row r="213" spans="10:14" ht="15.75" customHeight="1">
      <c r="J213" s="269"/>
      <c r="K213" s="269"/>
      <c r="L213" s="269"/>
      <c r="M213" s="269"/>
      <c r="N213" s="269"/>
    </row>
    <row r="214" spans="10:14" ht="15.75" customHeight="1">
      <c r="J214" s="269"/>
      <c r="K214" s="269"/>
      <c r="L214" s="269"/>
      <c r="M214" s="269"/>
      <c r="N214" s="269"/>
    </row>
    <row r="215" spans="10:14" ht="15.75" customHeight="1">
      <c r="J215" s="269"/>
      <c r="K215" s="269"/>
      <c r="L215" s="269"/>
      <c r="M215" s="269"/>
      <c r="N215" s="269"/>
    </row>
    <row r="216" spans="10:14" ht="15.75" customHeight="1">
      <c r="J216" s="269"/>
      <c r="K216" s="269"/>
      <c r="L216" s="269"/>
      <c r="M216" s="269"/>
      <c r="N216" s="269"/>
    </row>
    <row r="217" spans="10:14" ht="15.75" customHeight="1">
      <c r="J217" s="269"/>
      <c r="K217" s="269"/>
      <c r="L217" s="269"/>
      <c r="M217" s="269"/>
      <c r="N217" s="269"/>
    </row>
    <row r="218" spans="10:14" ht="15.75" customHeight="1">
      <c r="J218" s="269"/>
      <c r="K218" s="269"/>
      <c r="L218" s="269"/>
      <c r="M218" s="269"/>
      <c r="N218" s="269"/>
    </row>
    <row r="219" spans="10:14" ht="15.75" customHeight="1">
      <c r="J219" s="269"/>
      <c r="K219" s="269"/>
      <c r="L219" s="269"/>
      <c r="M219" s="269"/>
      <c r="N219" s="269"/>
    </row>
    <row r="220" spans="10:14" ht="15.75" customHeight="1">
      <c r="J220" s="269"/>
      <c r="K220" s="269"/>
      <c r="L220" s="269"/>
      <c r="M220" s="269"/>
      <c r="N220" s="269"/>
    </row>
    <row r="221" spans="10:14" ht="15.75" customHeight="1">
      <c r="J221" s="269"/>
      <c r="K221" s="269"/>
      <c r="L221" s="269"/>
      <c r="M221" s="269"/>
      <c r="N221" s="269"/>
    </row>
    <row r="222" spans="10:14" ht="15.75" customHeight="1">
      <c r="J222" s="269"/>
      <c r="K222" s="269"/>
      <c r="L222" s="269"/>
      <c r="M222" s="269"/>
      <c r="N222" s="269"/>
    </row>
    <row r="223" spans="10:14" ht="15.75" customHeight="1">
      <c r="J223" s="269"/>
      <c r="K223" s="269"/>
      <c r="L223" s="269"/>
      <c r="M223" s="269"/>
      <c r="N223" s="269"/>
    </row>
    <row r="224" spans="10:14" ht="15.75" customHeight="1">
      <c r="J224" s="269"/>
      <c r="K224" s="269"/>
      <c r="L224" s="269"/>
      <c r="M224" s="269"/>
      <c r="N224" s="269"/>
    </row>
    <row r="225" spans="10:14" ht="15.75" customHeight="1">
      <c r="J225" s="269"/>
      <c r="K225" s="269"/>
      <c r="L225" s="269"/>
      <c r="M225" s="269"/>
      <c r="N225" s="269"/>
    </row>
    <row r="226" spans="10:14" ht="15.75" customHeight="1"/>
    <row r="227" spans="10:14" ht="15.75" customHeight="1"/>
    <row r="228" spans="10:14" ht="15.75" customHeight="1"/>
    <row r="229" spans="10:14" ht="15.75" customHeight="1"/>
    <row r="230" spans="10:14" ht="15.75" customHeight="1"/>
    <row r="231" spans="10:14" ht="15.75" customHeight="1"/>
    <row r="232" spans="10:14" ht="15.75" customHeight="1"/>
    <row r="233" spans="10:14" ht="15.75" customHeight="1"/>
    <row r="234" spans="10:14" ht="15.75" customHeight="1"/>
    <row r="235" spans="10:14" ht="15.75" customHeight="1"/>
    <row r="236" spans="10:14" ht="15.75" customHeight="1"/>
    <row r="237" spans="10:14" ht="15.75" customHeight="1"/>
    <row r="238" spans="10:14" ht="15.75" customHeight="1"/>
    <row r="239" spans="10:14" ht="15.75" customHeight="1"/>
    <row r="240" spans="10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Summary FY24</vt:lpstr>
      <vt:lpstr>Cash Flow BOP </vt:lpstr>
      <vt:lpstr>Cash Flow - Actual</vt:lpstr>
      <vt:lpstr>Monthly Financial Stmt</vt:lpstr>
      <vt:lpstr>Cash Balances</vt:lpstr>
      <vt:lpstr>PTCA</vt:lpstr>
      <vt:lpstr>Salaries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Brimmell, Irina</cp:lastModifiedBy>
  <dcterms:modified xsi:type="dcterms:W3CDTF">2024-03-08T20:21:17Z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