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Jenna\Prestige Dropbox\Prestige School Solutions Team Folder\Client Files\ATLS - (Atlanta Smart Academy)\FY2025\Budgets and Working Adjustments\"/>
    </mc:Choice>
  </mc:AlternateContent>
  <xr:revisionPtr revIDLastSave="0" documentId="13_ncr:1_{BF544450-7E54-4EC0-8C8A-6AEF355C4E3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rofit &amp; Loss vs. Budget" sheetId="1" r:id="rId1"/>
    <sheet name="Supplies Breakout" sheetId="5" r:id="rId2"/>
    <sheet name="Salary Schedule" sheetId="2" r:id="rId3"/>
    <sheet name="Revenu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" i="2" l="1"/>
  <c r="H56" i="2"/>
  <c r="I56" i="2"/>
  <c r="J56" i="2"/>
  <c r="K56" i="2"/>
  <c r="L56" i="2"/>
  <c r="F56" i="2"/>
  <c r="G49" i="2"/>
  <c r="H49" i="2"/>
  <c r="I49" i="2"/>
  <c r="J49" i="2"/>
  <c r="K49" i="2"/>
  <c r="L49" i="2"/>
  <c r="L60" i="2" s="1"/>
  <c r="F49" i="2"/>
  <c r="G24" i="2"/>
  <c r="H24" i="2"/>
  <c r="I24" i="2"/>
  <c r="J24" i="2"/>
  <c r="K24" i="2"/>
  <c r="F24" i="2"/>
  <c r="L24" i="2"/>
  <c r="B50" i="1"/>
  <c r="G60" i="2"/>
  <c r="G41" i="2"/>
  <c r="H41" i="2"/>
  <c r="I41" i="2"/>
  <c r="J41" i="2"/>
  <c r="K41" i="2"/>
  <c r="L41" i="2"/>
  <c r="F41" i="2"/>
  <c r="F40" i="2"/>
  <c r="K40" i="2" s="1"/>
  <c r="F37" i="2"/>
  <c r="D37" i="2"/>
  <c r="D40" i="2"/>
  <c r="G40" i="2"/>
  <c r="C73" i="1"/>
  <c r="J52" i="2"/>
  <c r="J53" i="2"/>
  <c r="J54" i="2"/>
  <c r="J55" i="2"/>
  <c r="J51" i="2"/>
  <c r="J48" i="2"/>
  <c r="J47" i="2"/>
  <c r="J43" i="2"/>
  <c r="J37" i="2"/>
  <c r="J36" i="2"/>
  <c r="J32" i="2"/>
  <c r="J29" i="2"/>
  <c r="J26" i="2"/>
  <c r="J21" i="2"/>
  <c r="J22" i="2"/>
  <c r="J20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3" i="2"/>
  <c r="J60" i="2" l="1"/>
  <c r="K60" i="2"/>
  <c r="H60" i="2"/>
  <c r="I60" i="2"/>
  <c r="F60" i="2"/>
  <c r="H40" i="2"/>
  <c r="I40" i="2"/>
  <c r="J40" i="2"/>
  <c r="B102" i="1"/>
  <c r="B15" i="1"/>
  <c r="B14" i="1"/>
  <c r="B13" i="1"/>
  <c r="B12" i="1"/>
  <c r="B11" i="1"/>
  <c r="D16" i="4"/>
  <c r="D15" i="4"/>
  <c r="D14" i="4"/>
  <c r="D13" i="4"/>
  <c r="G62" i="4"/>
  <c r="G61" i="4"/>
  <c r="G60" i="4"/>
  <c r="G59" i="4"/>
  <c r="G57" i="4"/>
  <c r="D10" i="4"/>
  <c r="C10" i="4"/>
  <c r="C11" i="4" s="1"/>
  <c r="L40" i="2" l="1"/>
  <c r="B119" i="1"/>
  <c r="C88" i="1"/>
  <c r="B81" i="1"/>
  <c r="C81" i="1"/>
  <c r="I99" i="5"/>
  <c r="H99" i="5"/>
  <c r="C82" i="1" s="1"/>
  <c r="B82" i="1" s="1"/>
  <c r="I88" i="5"/>
  <c r="H88" i="5"/>
  <c r="I51" i="5"/>
  <c r="H51" i="5"/>
  <c r="C80" i="1" s="1"/>
  <c r="B80" i="1" s="1"/>
  <c r="B73" i="1"/>
  <c r="C67" i="1"/>
  <c r="B21" i="1"/>
  <c r="B22" i="1"/>
  <c r="B20" i="1"/>
  <c r="C119" i="1"/>
  <c r="C96" i="1"/>
  <c r="C120" i="1"/>
  <c r="C98" i="1"/>
  <c r="C94" i="1"/>
  <c r="B70" i="1"/>
  <c r="C14" i="4"/>
  <c r="C15" i="4"/>
  <c r="C16" i="4"/>
  <c r="C13" i="4"/>
  <c r="C8" i="4"/>
  <c r="C5" i="4"/>
  <c r="B31" i="1"/>
  <c r="B32" i="1" s="1"/>
  <c r="B26" i="1"/>
  <c r="B28" i="1" s="1"/>
  <c r="B125" i="1"/>
  <c r="D125" i="1"/>
  <c r="C125" i="1"/>
  <c r="B121" i="1"/>
  <c r="D121" i="1"/>
  <c r="B108" i="1"/>
  <c r="D108" i="1"/>
  <c r="C108" i="1"/>
  <c r="B104" i="1"/>
  <c r="D104" i="1"/>
  <c r="C104" i="1"/>
  <c r="D99" i="1"/>
  <c r="D91" i="1"/>
  <c r="D76" i="1"/>
  <c r="D64" i="1"/>
  <c r="B35" i="1"/>
  <c r="D35" i="1"/>
  <c r="C35" i="1"/>
  <c r="D32" i="1"/>
  <c r="C32" i="1"/>
  <c r="D28" i="1"/>
  <c r="C28" i="1"/>
  <c r="D23" i="1"/>
  <c r="C23" i="1"/>
  <c r="B17" i="1"/>
  <c r="D17" i="1"/>
  <c r="C17" i="1"/>
  <c r="G55" i="2"/>
  <c r="H55" i="2"/>
  <c r="I55" i="2"/>
  <c r="K55" i="2"/>
  <c r="B94" i="1"/>
  <c r="B97" i="1"/>
  <c r="B86" i="1"/>
  <c r="B56" i="1"/>
  <c r="F23" i="2"/>
  <c r="H33" i="2"/>
  <c r="I33" i="2"/>
  <c r="J33" i="2"/>
  <c r="B95" i="1"/>
  <c r="B74" i="1"/>
  <c r="B55" i="1"/>
  <c r="K52" i="2"/>
  <c r="I52" i="2"/>
  <c r="H52" i="2"/>
  <c r="G52" i="2"/>
  <c r="D52" i="2"/>
  <c r="K51" i="2"/>
  <c r="I51" i="2"/>
  <c r="H51" i="2"/>
  <c r="G51" i="2"/>
  <c r="D51" i="2"/>
  <c r="B54" i="1"/>
  <c r="K47" i="2"/>
  <c r="I47" i="2"/>
  <c r="H47" i="2"/>
  <c r="G47" i="2"/>
  <c r="D47" i="2"/>
  <c r="K54" i="2"/>
  <c r="I54" i="2"/>
  <c r="H54" i="2"/>
  <c r="G54" i="2"/>
  <c r="D54" i="2"/>
  <c r="F44" i="2"/>
  <c r="B52" i="1" s="1"/>
  <c r="K43" i="2"/>
  <c r="K44" i="2" s="1"/>
  <c r="J44" i="2"/>
  <c r="I43" i="2"/>
  <c r="I44" i="2" s="1"/>
  <c r="H43" i="2"/>
  <c r="H44" i="2" s="1"/>
  <c r="G43" i="2"/>
  <c r="D43" i="2"/>
  <c r="F38" i="2"/>
  <c r="B48" i="1" s="1"/>
  <c r="K37" i="2"/>
  <c r="I37" i="2"/>
  <c r="H37" i="2"/>
  <c r="G37" i="2"/>
  <c r="K36" i="2"/>
  <c r="I36" i="2"/>
  <c r="H36" i="2"/>
  <c r="G36" i="2"/>
  <c r="D36" i="2"/>
  <c r="F34" i="2"/>
  <c r="F30" i="2"/>
  <c r="B46" i="1" s="1"/>
  <c r="K29" i="2"/>
  <c r="K30" i="2" s="1"/>
  <c r="J30" i="2"/>
  <c r="I29" i="2"/>
  <c r="I30" i="2" s="1"/>
  <c r="H29" i="2"/>
  <c r="H30" i="2" s="1"/>
  <c r="G29" i="2"/>
  <c r="D29" i="2"/>
  <c r="F27" i="2"/>
  <c r="B45" i="1" s="1"/>
  <c r="K26" i="2"/>
  <c r="K27" i="2" s="1"/>
  <c r="J27" i="2"/>
  <c r="I26" i="2"/>
  <c r="I27" i="2" s="1"/>
  <c r="H26" i="2"/>
  <c r="H27" i="2" s="1"/>
  <c r="G26" i="2"/>
  <c r="G27" i="2" s="1"/>
  <c r="D26" i="2"/>
  <c r="B44" i="1"/>
  <c r="K21" i="2"/>
  <c r="I21" i="2"/>
  <c r="H21" i="2"/>
  <c r="G21" i="2"/>
  <c r="D21" i="2"/>
  <c r="K20" i="2"/>
  <c r="I20" i="2"/>
  <c r="H20" i="2"/>
  <c r="G20" i="2"/>
  <c r="D20" i="2"/>
  <c r="K48" i="2"/>
  <c r="I48" i="2"/>
  <c r="H48" i="2"/>
  <c r="G48" i="2"/>
  <c r="D48" i="2"/>
  <c r="K12" i="2"/>
  <c r="I12" i="2"/>
  <c r="H12" i="2"/>
  <c r="G12" i="2"/>
  <c r="D12" i="2"/>
  <c r="K32" i="2"/>
  <c r="K34" i="2" s="1"/>
  <c r="I32" i="2"/>
  <c r="H32" i="2"/>
  <c r="G32" i="2"/>
  <c r="G34" i="2" s="1"/>
  <c r="D32" i="2"/>
  <c r="K15" i="2"/>
  <c r="I15" i="2"/>
  <c r="H15" i="2"/>
  <c r="G15" i="2"/>
  <c r="D15" i="2"/>
  <c r="K14" i="2"/>
  <c r="I14" i="2"/>
  <c r="H14" i="2"/>
  <c r="G14" i="2"/>
  <c r="D14" i="2"/>
  <c r="K13" i="2"/>
  <c r="I13" i="2"/>
  <c r="H13" i="2"/>
  <c r="G13" i="2"/>
  <c r="D13" i="2"/>
  <c r="F17" i="2"/>
  <c r="B41" i="1" s="1"/>
  <c r="K16" i="2"/>
  <c r="I16" i="2"/>
  <c r="H16" i="2"/>
  <c r="G16" i="2"/>
  <c r="D16" i="2"/>
  <c r="K11" i="2"/>
  <c r="I11" i="2"/>
  <c r="H11" i="2"/>
  <c r="G11" i="2"/>
  <c r="D11" i="2"/>
  <c r="K10" i="2"/>
  <c r="I10" i="2"/>
  <c r="H10" i="2"/>
  <c r="G10" i="2"/>
  <c r="D10" i="2"/>
  <c r="K9" i="2"/>
  <c r="I9" i="2"/>
  <c r="H9" i="2"/>
  <c r="G9" i="2"/>
  <c r="D9" i="2"/>
  <c r="K8" i="2"/>
  <c r="I8" i="2"/>
  <c r="H8" i="2"/>
  <c r="G8" i="2"/>
  <c r="D8" i="2"/>
  <c r="K7" i="2"/>
  <c r="I7" i="2"/>
  <c r="H7" i="2"/>
  <c r="G7" i="2"/>
  <c r="D7" i="2"/>
  <c r="K6" i="2"/>
  <c r="I6" i="2"/>
  <c r="H6" i="2"/>
  <c r="G6" i="2"/>
  <c r="D6" i="2"/>
  <c r="K5" i="2"/>
  <c r="I5" i="2"/>
  <c r="H5" i="2"/>
  <c r="G5" i="2"/>
  <c r="D5" i="2"/>
  <c r="K53" i="2"/>
  <c r="I53" i="2"/>
  <c r="H53" i="2"/>
  <c r="G53" i="2"/>
  <c r="D53" i="2"/>
  <c r="K4" i="2"/>
  <c r="I4" i="2"/>
  <c r="H4" i="2"/>
  <c r="G4" i="2"/>
  <c r="D4" i="2"/>
  <c r="K22" i="2"/>
  <c r="I22" i="2"/>
  <c r="H22" i="2"/>
  <c r="G22" i="2"/>
  <c r="D22" i="2"/>
  <c r="G23" i="2"/>
  <c r="D23" i="2"/>
  <c r="K3" i="2"/>
  <c r="I3" i="2"/>
  <c r="H3" i="2"/>
  <c r="G3" i="2"/>
  <c r="D3" i="2"/>
  <c r="L55" i="2" l="1"/>
  <c r="H34" i="2"/>
  <c r="H23" i="2"/>
  <c r="J23" i="2"/>
  <c r="C79" i="1"/>
  <c r="B79" i="1" s="1"/>
  <c r="B91" i="1" s="1"/>
  <c r="I169" i="5"/>
  <c r="H169" i="5"/>
  <c r="C36" i="1"/>
  <c r="C121" i="1"/>
  <c r="B99" i="1"/>
  <c r="D36" i="1"/>
  <c r="D131" i="1"/>
  <c r="D133" i="1" s="1"/>
  <c r="B23" i="1"/>
  <c r="B36" i="1" s="1"/>
  <c r="C76" i="1"/>
  <c r="C99" i="1"/>
  <c r="B76" i="1"/>
  <c r="K23" i="2"/>
  <c r="I23" i="2"/>
  <c r="I17" i="2" s="1"/>
  <c r="L10" i="2"/>
  <c r="L8" i="2"/>
  <c r="L33" i="2"/>
  <c r="L16" i="2"/>
  <c r="I34" i="2"/>
  <c r="L47" i="2"/>
  <c r="L14" i="2"/>
  <c r="L32" i="2"/>
  <c r="L48" i="2"/>
  <c r="J34" i="2"/>
  <c r="K38" i="2"/>
  <c r="L36" i="2"/>
  <c r="L37" i="2"/>
  <c r="L13" i="2"/>
  <c r="L22" i="2"/>
  <c r="I38" i="2"/>
  <c r="G17" i="2"/>
  <c r="L4" i="2"/>
  <c r="J38" i="2"/>
  <c r="L5" i="2"/>
  <c r="L7" i="2"/>
  <c r="L29" i="2"/>
  <c r="L30" i="2" s="1"/>
  <c r="L6" i="2"/>
  <c r="L53" i="2"/>
  <c r="H17" i="2"/>
  <c r="L21" i="2"/>
  <c r="J17" i="2"/>
  <c r="L11" i="2"/>
  <c r="L20" i="2"/>
  <c r="G38" i="2"/>
  <c r="K17" i="2"/>
  <c r="L12" i="2"/>
  <c r="H38" i="2"/>
  <c r="L52" i="2"/>
  <c r="L9" i="2"/>
  <c r="L3" i="2"/>
  <c r="L15" i="2"/>
  <c r="B47" i="1"/>
  <c r="L43" i="2"/>
  <c r="L44" i="2" s="1"/>
  <c r="L26" i="2"/>
  <c r="L27" i="2" s="1"/>
  <c r="G30" i="2"/>
  <c r="L51" i="2"/>
  <c r="G44" i="2"/>
  <c r="L54" i="2"/>
  <c r="C91" i="1" l="1"/>
  <c r="L34" i="2"/>
  <c r="L23" i="2"/>
  <c r="B61" i="1"/>
  <c r="B58" i="1"/>
  <c r="L38" i="2"/>
  <c r="B59" i="1"/>
  <c r="L17" i="2"/>
  <c r="B60" i="1"/>
  <c r="B63" i="1"/>
  <c r="C63" i="1" l="1"/>
  <c r="C64" i="1" s="1"/>
  <c r="C131" i="1" s="1"/>
  <c r="C133" i="1" s="1"/>
  <c r="B64" i="1"/>
  <c r="B131" i="1" s="1"/>
  <c r="B133" i="1" s="1"/>
</calcChain>
</file>

<file path=xl/sharedStrings.xml><?xml version="1.0" encoding="utf-8"?>
<sst xmlns="http://schemas.openxmlformats.org/spreadsheetml/2006/main" count="1185" uniqueCount="539">
  <si>
    <t>Atlanta SMART Academy</t>
  </si>
  <si>
    <t>Profit &amp; Loss vs. Budget</t>
  </si>
  <si>
    <t>Month and Year-to-Date</t>
  </si>
  <si>
    <t>As of Date:</t>
  </si>
  <si>
    <t>02/29/2024</t>
  </si>
  <si>
    <t xml:space="preserve"> </t>
  </si>
  <si>
    <t>Year To Date</t>
  </si>
  <si>
    <t>Budget f/y/e</t>
  </si>
  <si>
    <t>06/30/2024</t>
  </si>
  <si>
    <t>Actual</t>
  </si>
  <si>
    <t>FY2024</t>
  </si>
  <si>
    <t xml:space="preserve">  Revenues</t>
  </si>
  <si>
    <t xml:space="preserve">  </t>
  </si>
  <si>
    <t xml:space="preserve">    State Revenue Sources</t>
  </si>
  <si>
    <t xml:space="preserve">    </t>
  </si>
  <si>
    <t xml:space="preserve">      1199 - Charter Commission Revenue</t>
  </si>
  <si>
    <t xml:space="preserve">      3120 - Total QBE Formula Earnings</t>
  </si>
  <si>
    <t xml:space="preserve">      3122 - QBE Allotment (operating)</t>
  </si>
  <si>
    <t xml:space="preserve">      3125 - Total State Categorical Grants</t>
  </si>
  <si>
    <t xml:space="preserve">      3140 - QBE Contra - 5 mill</t>
  </si>
  <si>
    <t xml:space="preserve">      3800 - Other Grants from GADOE</t>
  </si>
  <si>
    <t xml:space="preserve">    Total State Revenue Sources</t>
  </si>
  <si>
    <t xml:space="preserve">    Local Revenue Sources</t>
  </si>
  <si>
    <t xml:space="preserve">      1220 - Donations</t>
  </si>
  <si>
    <t xml:space="preserve">      1225 - Fundraising / Misc Sales</t>
  </si>
  <si>
    <t xml:space="preserve">      1700 - Student Activities - Centralized</t>
  </si>
  <si>
    <t xml:space="preserve">    Total Local Revenue Sources</t>
  </si>
  <si>
    <t xml:space="preserve">    Federal Revenue Sources</t>
  </si>
  <si>
    <t xml:space="preserve">      4520 - Federal Title Program Revenue</t>
  </si>
  <si>
    <t xml:space="preserve">      4535 - Federal Grants - CARES/ESSER</t>
  </si>
  <si>
    <t xml:space="preserve">    Total Federal Revenue Sources</t>
  </si>
  <si>
    <t xml:space="preserve">    Enterprise and Student Nutrition</t>
  </si>
  <si>
    <t xml:space="preserve">      3510 - Nutrition Program Reimbursements</t>
  </si>
  <si>
    <t xml:space="preserve">    Total Enterprise and Nutrition</t>
  </si>
  <si>
    <t xml:space="preserve">    Other Financing Sources</t>
  </si>
  <si>
    <t xml:space="preserve">      5995 - Other Sources</t>
  </si>
  <si>
    <t xml:space="preserve">    Total Other Financing Sources</t>
  </si>
  <si>
    <t xml:space="preserve">  Total Revenues</t>
  </si>
  <si>
    <t xml:space="preserve">  Expenses</t>
  </si>
  <si>
    <t xml:space="preserve">    Salaries and Benefits</t>
  </si>
  <si>
    <t xml:space="preserve">      0110 - Salaries - Teachers</t>
  </si>
  <si>
    <t xml:space="preserve">      0114 - Salaries - Substitutes</t>
  </si>
  <si>
    <t xml:space="preserve">      0116 - Professional Development Stipends</t>
  </si>
  <si>
    <t xml:space="preserve">      0118 - Salaries - Art, Music, PE, Spanish</t>
  </si>
  <si>
    <t xml:space="preserve">      0130 - Principal</t>
  </si>
  <si>
    <t xml:space="preserve">      0131 - Assistant Principal</t>
  </si>
  <si>
    <t xml:space="preserve">      0140 - Salaries - Aids &amp; Parapro</t>
  </si>
  <si>
    <t xml:space="preserve">      0142 - Salaries - Clerical</t>
  </si>
  <si>
    <t xml:space="preserve">      0148 - Accountant</t>
  </si>
  <si>
    <t xml:space="preserve">      0155 - Parent Liason</t>
  </si>
  <si>
    <t xml:space="preserve">      0163 - Salaries - Nursing</t>
  </si>
  <si>
    <t xml:space="preserve">      0172 - Elementary Counselor</t>
  </si>
  <si>
    <t xml:space="preserve">      0177 - Family Services/Parent Coordinator</t>
  </si>
  <si>
    <t xml:space="preserve">      0178 - Graduation Coach</t>
  </si>
  <si>
    <t xml:space="preserve">      0190 - Salaries - Other Management Personnel</t>
  </si>
  <si>
    <t xml:space="preserve">      0199 - Salaries - Other</t>
  </si>
  <si>
    <t xml:space="preserve">      0200 - Employer Benefits</t>
  </si>
  <si>
    <t xml:space="preserve">      0210 - State Health Insurance</t>
  </si>
  <si>
    <t xml:space="preserve">      0220 - FICA/Medicare</t>
  </si>
  <si>
    <t xml:space="preserve">      0230 - Teachers Retirement System</t>
  </si>
  <si>
    <t xml:space="preserve">      0250 - Unemployment Compensation</t>
  </si>
  <si>
    <t xml:space="preserve">      0260 - Workers Compensation</t>
  </si>
  <si>
    <t xml:space="preserve">    Total Salaries and Benefits</t>
  </si>
  <si>
    <t xml:space="preserve">    Contracted and Professional</t>
  </si>
  <si>
    <t xml:space="preserve">      0300 - Contracted Svcs - Professional</t>
  </si>
  <si>
    <t xml:space="preserve">      0301 - Professional Learning</t>
  </si>
  <si>
    <t xml:space="preserve">      0324 - Contracted Svcs -Technology</t>
  </si>
  <si>
    <t xml:space="preserve">      0332 - Employee Screening (Background, Fingerprint)</t>
  </si>
  <si>
    <t xml:space="preserve">    Total Contracted and Professional</t>
  </si>
  <si>
    <t xml:space="preserve">    Supplies</t>
  </si>
  <si>
    <t xml:space="preserve">      0610 - Supplies</t>
  </si>
  <si>
    <t xml:space="preserve">      0611 - Supplies - Technology</t>
  </si>
  <si>
    <t xml:space="preserve">      0612 - Computer Software</t>
  </si>
  <si>
    <t xml:space="preserve">      0615 - Expendable Equipment</t>
  </si>
  <si>
    <t xml:space="preserve">      0616 - Computers and Peripherals</t>
  </si>
  <si>
    <t xml:space="preserve">      0641 - Textbooks</t>
  </si>
  <si>
    <t xml:space="preserve">      0642 - Books (Other Than Textbooks) And Periodicals</t>
  </si>
  <si>
    <t xml:space="preserve">      0660 - Communications/Market</t>
  </si>
  <si>
    <t xml:space="preserve">      0640 - Digital/Electronic Textbooks</t>
  </si>
  <si>
    <t xml:space="preserve">    Total Supplies</t>
  </si>
  <si>
    <t xml:space="preserve">    Property and Plant Management</t>
  </si>
  <si>
    <t xml:space="preserve">      0410 - Water, Sewer And Cleaning Services</t>
  </si>
  <si>
    <t xml:space="preserve">      0620 - Energy</t>
  </si>
  <si>
    <t xml:space="preserve">      0430 - Repair &amp; Maint. - General and Facility</t>
  </si>
  <si>
    <t xml:space="preserve">      0441 - Building and Land Rental</t>
  </si>
  <si>
    <t xml:space="preserve">      0490 - Other Property Services</t>
  </si>
  <si>
    <t xml:space="preserve">    Total Property and Plant Management</t>
  </si>
  <si>
    <t xml:space="preserve">    BASP and Student Nutrition Expense</t>
  </si>
  <si>
    <t xml:space="preserve">      0630 - Purchased Food</t>
  </si>
  <si>
    <t xml:space="preserve">      0570 - Food Service Management</t>
  </si>
  <si>
    <t xml:space="preserve">    Total BASP &amp; Student Nutrition</t>
  </si>
  <si>
    <t xml:space="preserve">    Debt Service</t>
  </si>
  <si>
    <t xml:space="preserve">      0830 - Interest</t>
  </si>
  <si>
    <t xml:space="preserve">    Total Debt Service</t>
  </si>
  <si>
    <t xml:space="preserve">    Other Services and Expenses</t>
  </si>
  <si>
    <t xml:space="preserve">      0443 - Computer and IT Rental</t>
  </si>
  <si>
    <t xml:space="preserve">      0444 - Other Rentals</t>
  </si>
  <si>
    <t xml:space="preserve">      0519 - Student Transportation</t>
  </si>
  <si>
    <t xml:space="preserve">      0520 - Insurance</t>
  </si>
  <si>
    <t xml:space="preserve">      0530 - Telecommunication</t>
  </si>
  <si>
    <t xml:space="preserve">      0532 - Communications - Web-based Subscriptions</t>
  </si>
  <si>
    <t xml:space="preserve">      0580 - Travel - Staff &amp; Staff Dev.</t>
  </si>
  <si>
    <t xml:space="preserve">      0595 - Other Purchased Services</t>
  </si>
  <si>
    <t xml:space="preserve">      0810 - Dues &amp; Fees</t>
  </si>
  <si>
    <t xml:space="preserve">      0890 - Fundraising/Events</t>
  </si>
  <si>
    <t xml:space="preserve">    Total Other Services and Expenses</t>
  </si>
  <si>
    <t xml:space="preserve">    Capital Outlay</t>
  </si>
  <si>
    <t xml:space="preserve">      0720 - Building Purchase, Construction, Improvements</t>
  </si>
  <si>
    <t xml:space="preserve">    Total Capital Outlay</t>
  </si>
  <si>
    <t xml:space="preserve">    Expenses Awaiting Admin Classification</t>
  </si>
  <si>
    <t xml:space="preserve">      0699 - Awaiting Admin Classification</t>
  </si>
  <si>
    <t xml:space="preserve">      0629 - Payroll Liabilities Holding/Clearing</t>
  </si>
  <si>
    <t xml:space="preserve">    Total Expenses Awaiting Admin Classification</t>
  </si>
  <si>
    <t xml:space="preserve">  Total Expenses</t>
  </si>
  <si>
    <t xml:space="preserve">  Total Net Income / (Loss)</t>
  </si>
  <si>
    <t>FY25 Budget</t>
  </si>
  <si>
    <t>FY 2025</t>
  </si>
  <si>
    <t>Payroll Name</t>
  </si>
  <si>
    <t>Department Number</t>
  </si>
  <si>
    <t>Job Title Description</t>
  </si>
  <si>
    <t>FY24 Total Earnings</t>
  </si>
  <si>
    <t>Salary Increase</t>
  </si>
  <si>
    <t>Health</t>
  </si>
  <si>
    <t>Retirement (TRS)</t>
  </si>
  <si>
    <t>Taxes</t>
  </si>
  <si>
    <t>ADP Service Fee/Product Fees</t>
  </si>
  <si>
    <t>Unemployment</t>
  </si>
  <si>
    <t>Total</t>
  </si>
  <si>
    <t>Notes</t>
  </si>
  <si>
    <t>Alphabet, Shantel</t>
  </si>
  <si>
    <t>100110</t>
  </si>
  <si>
    <t>Teacher</t>
  </si>
  <si>
    <t>Changing to 210</t>
  </si>
  <si>
    <t>000100</t>
  </si>
  <si>
    <t>Brown, Ajani</t>
  </si>
  <si>
    <t>Brown, Sunny</t>
  </si>
  <si>
    <t>based on moving grade levels/subjects</t>
  </si>
  <si>
    <t>Dennis, Julia S</t>
  </si>
  <si>
    <t>Dozier, Amina Crystal</t>
  </si>
  <si>
    <t xml:space="preserve">Harris, Holland </t>
  </si>
  <si>
    <t>Miller, Chelsea Marie</t>
  </si>
  <si>
    <t>McLane, Kenedi Noelle</t>
  </si>
  <si>
    <t>Pringle, Robert Lewis</t>
  </si>
  <si>
    <t>Ruddock-Hickman, Mekeysha</t>
  </si>
  <si>
    <t>Swint, Darrion R</t>
  </si>
  <si>
    <t>Turner, Kiara A</t>
  </si>
  <si>
    <t>Certification pending</t>
  </si>
  <si>
    <t>Instructional Salary Subtotal:</t>
  </si>
  <si>
    <t>Guzman, Hunter Gloria</t>
  </si>
  <si>
    <t>100111</t>
  </si>
  <si>
    <t>Confirm clear and renewable certificate</t>
  </si>
  <si>
    <t>Sankhagowit, Amara</t>
  </si>
  <si>
    <t>Smith, Jezreel M. Amica</t>
  </si>
  <si>
    <t>Tappin, Camilya</t>
  </si>
  <si>
    <t>Pending change of position</t>
  </si>
  <si>
    <t>Jones, Timothy Vincent</t>
  </si>
  <si>
    <t>210110</t>
  </si>
  <si>
    <t>Baptiste, Taisha J</t>
  </si>
  <si>
    <t>100118</t>
  </si>
  <si>
    <t>Jackson, Whitney</t>
  </si>
  <si>
    <t>Moore, Selentia Quintessa</t>
  </si>
  <si>
    <t>Art, Music, PE  Salary Subtotal:</t>
  </si>
  <si>
    <t>Meadows, Patrice</t>
  </si>
  <si>
    <t>240130</t>
  </si>
  <si>
    <t>Superintendent</t>
  </si>
  <si>
    <t>Principal Subtotal:</t>
  </si>
  <si>
    <t>Brown, Dianne N</t>
  </si>
  <si>
    <t>100131</t>
  </si>
  <si>
    <t>Assistant Principal</t>
  </si>
  <si>
    <t>Asst. Principal Subtotal:</t>
  </si>
  <si>
    <t>Aids and Parapro Subtotal:</t>
  </si>
  <si>
    <t>Gonzalez, Nesvi</t>
  </si>
  <si>
    <t>240142</t>
  </si>
  <si>
    <t>Meadows, Contessa Denisa</t>
  </si>
  <si>
    <t>Clerical Subtotal:</t>
  </si>
  <si>
    <t>210172</t>
  </si>
  <si>
    <t>School Counselor</t>
  </si>
  <si>
    <t>Guidance Subtotal:</t>
  </si>
  <si>
    <t>Brown, Shadolyn</t>
  </si>
  <si>
    <t>100178</t>
  </si>
  <si>
    <t>Chennault, June Justa</t>
  </si>
  <si>
    <t>MTSS/READING SPECIALIST</t>
  </si>
  <si>
    <t>Graduation Coach Subtotal:</t>
  </si>
  <si>
    <t>210190</t>
  </si>
  <si>
    <t>Scott, Jocelyn M</t>
  </si>
  <si>
    <t>240190</t>
  </si>
  <si>
    <t>Director of Ops</t>
  </si>
  <si>
    <t>Other Management Subtotal:</t>
  </si>
  <si>
    <t>Total:</t>
  </si>
  <si>
    <t>Should be contracted services</t>
  </si>
  <si>
    <t>Contracted nurses - Maxim Health.</t>
  </si>
  <si>
    <t xml:space="preserve">Nothing charged YTD. </t>
  </si>
  <si>
    <t xml:space="preserve">      0340 - Legal Services</t>
  </si>
  <si>
    <t xml:space="preserve">Main expense is ViewBoards and Powerschool - this should likely move down to Software instead. </t>
  </si>
  <si>
    <t>Increasing</t>
  </si>
  <si>
    <t>General repairs</t>
  </si>
  <si>
    <t>TRF Lending - $11482.31 per a month</t>
  </si>
  <si>
    <t xml:space="preserve">Any large additional repairs? A lot of the security improvements are posted in this line. </t>
  </si>
  <si>
    <t>GrayMatter</t>
  </si>
  <si>
    <t xml:space="preserve">IdentiKid, Zoom, </t>
  </si>
  <si>
    <t>Printer</t>
  </si>
  <si>
    <t xml:space="preserve">Purchase of Hertz Furniture - will this be happening again?  No. </t>
  </si>
  <si>
    <t>Learning in Color - Appearance</t>
  </si>
  <si>
    <t xml:space="preserve">Will there be a need for additional viewboards?  No. Potential for repair/replacement. </t>
  </si>
  <si>
    <t xml:space="preserve">Mrs. Scott to Follow up with nutrition director. </t>
  </si>
  <si>
    <t>TBD</t>
  </si>
  <si>
    <t xml:space="preserve">New staff member - budgetting for part time - teaches PE and Health. </t>
  </si>
  <si>
    <t>Not Returning</t>
  </si>
  <si>
    <t>SPED Teacher</t>
  </si>
  <si>
    <t>Social Studies Teacher</t>
  </si>
  <si>
    <t>SPED Paraprofessional</t>
  </si>
  <si>
    <t>Teacher (dance)</t>
  </si>
  <si>
    <t>Teacher (theater)</t>
  </si>
  <si>
    <t>Teacher (music)</t>
  </si>
  <si>
    <t xml:space="preserve">Teacher (visual arts/Social Students) </t>
  </si>
  <si>
    <t>SPED/ELA Teacher</t>
  </si>
  <si>
    <t>Special Ed Director</t>
  </si>
  <si>
    <t>Receptionist</t>
  </si>
  <si>
    <t>Executive Assistant/Family Engagement Coordinator (half of salary is title 1)</t>
  </si>
  <si>
    <t>Registrar</t>
  </si>
  <si>
    <t>Operations Manager</t>
  </si>
  <si>
    <t>Instructional Coach</t>
  </si>
  <si>
    <t>removing</t>
  </si>
  <si>
    <t xml:space="preserve">Department Chair, (2000 each x 6) + Atheltic Coach ( 4 sports, 2 coaches each, 3k per a sport) + Cheerleading extra (3000) Girls Basketball (3000) 17k for bonus pot. </t>
  </si>
  <si>
    <t xml:space="preserve">Adjusted to be in line with current spending. </t>
  </si>
  <si>
    <t>Partial salary for Meadows. (title 1)</t>
  </si>
  <si>
    <t xml:space="preserve">Additional computers for staff($1000) and students($340) </t>
  </si>
  <si>
    <t>Any promotional items? Key Vendors: 4Imprint, Totally Promotional, Prima Flyers, Sticker Banners, Signs.com, USPS (mailers).</t>
  </si>
  <si>
    <t>Ramping up to allow for additional recruitment.  - over the summer of 2023 - billboards (outfront media and radio one)</t>
  </si>
  <si>
    <t>Gallopade? - Social Studies textbook</t>
  </si>
  <si>
    <t>Increasing for cleaning supplies (36 weeks at biweekly $2250) Potential new vendor</t>
  </si>
  <si>
    <t xml:space="preserve">Review for costs through the school year. November forward. </t>
  </si>
  <si>
    <t xml:space="preserve">Federal Programs </t>
  </si>
  <si>
    <t>Same as FY24</t>
  </si>
  <si>
    <t>State</t>
  </si>
  <si>
    <t xml:space="preserve">      0330 - Contracted Service -Nursing Services</t>
  </si>
  <si>
    <t xml:space="preserve">      0304 - Accounting</t>
  </si>
  <si>
    <t xml:space="preserve">      0303 - AfterSchool Services</t>
  </si>
  <si>
    <t>Alyisha Smith</t>
  </si>
  <si>
    <t xml:space="preserve">      0321 - Contracted Svcs - Teachers</t>
  </si>
  <si>
    <t>Student Count</t>
  </si>
  <si>
    <t>Per student</t>
  </si>
  <si>
    <t xml:space="preserve">QBE revenue for FY25 </t>
  </si>
  <si>
    <t>Midterm allotment</t>
  </si>
  <si>
    <t>FY25 projected Student Count</t>
  </si>
  <si>
    <t>Overall</t>
  </si>
  <si>
    <t>Total QBE</t>
  </si>
  <si>
    <t>QBE Allotment</t>
  </si>
  <si>
    <t>State Cat Grants</t>
  </si>
  <si>
    <t>Contra - 5 mill</t>
  </si>
  <si>
    <t>Charter Commission</t>
  </si>
  <si>
    <t>Dropped down from Salary lines (Prestige Bills - $7,435 a month + Intacct licensing, CPA)</t>
  </si>
  <si>
    <t>Dropped down from Salary lines (Maxim - but hiring in house now (3/2024) - move back to salary?</t>
  </si>
  <si>
    <t>BREAKOUT - Instructional, Janitorial / Maintenance, Other</t>
  </si>
  <si>
    <t>Moved Eventbrite exp here (from Dues and fees)</t>
  </si>
  <si>
    <t xml:space="preserve">      0811 - Payroll Fees </t>
  </si>
  <si>
    <t>Removed - none in FY25</t>
  </si>
  <si>
    <t>Growing with Grace (Tutoring) $19,166 and Talk Time Speech and Language $14,040, Teach for America and Northstar</t>
  </si>
  <si>
    <t>TechnologyLab - IT Services</t>
  </si>
  <si>
    <t>0610.1 - Supplies Instructional</t>
  </si>
  <si>
    <t>0610.2 - Supplies Janitorial / Maintenance</t>
  </si>
  <si>
    <t>0610.3 - Athletics</t>
  </si>
  <si>
    <t>Company name:</t>
  </si>
  <si>
    <t>Report name:</t>
  </si>
  <si>
    <t>General Ledger report</t>
  </si>
  <si>
    <t>Start Date:</t>
  </si>
  <si>
    <t>End Date:</t>
  </si>
  <si>
    <t>Posted dt.</t>
  </si>
  <si>
    <t>Doc dt.</t>
  </si>
  <si>
    <t>Doc</t>
  </si>
  <si>
    <t>Memo/Description</t>
  </si>
  <si>
    <t>Fund</t>
  </si>
  <si>
    <t>Function</t>
  </si>
  <si>
    <t>JNL</t>
  </si>
  <si>
    <t>Debit</t>
  </si>
  <si>
    <t>Credit</t>
  </si>
  <si>
    <t>Balance</t>
  </si>
  <si>
    <t>New</t>
  </si>
  <si>
    <t>CC 2024 0229</t>
  </si>
  <si>
    <t>Bill - PRIMA ATLANTA PRINTER: To record CC purchase</t>
  </si>
  <si>
    <t>100</t>
  </si>
  <si>
    <t>2400</t>
  </si>
  <si>
    <t>APJA</t>
  </si>
  <si>
    <t>CC 2024 0202</t>
  </si>
  <si>
    <t>Bill - SP Branded School: To record CC purchase</t>
  </si>
  <si>
    <t>2100</t>
  </si>
  <si>
    <t>CC 2024 0131</t>
  </si>
  <si>
    <t>Bill - Totally Promotional: To record CC purchase</t>
  </si>
  <si>
    <t>2300</t>
  </si>
  <si>
    <t>CC 2024 0126</t>
  </si>
  <si>
    <t>Bill - Way Field Foods: Attendance Incentive</t>
  </si>
  <si>
    <t>CC 2024 0209</t>
  </si>
  <si>
    <t>CC 2024 0214</t>
  </si>
  <si>
    <t>11554876</t>
  </si>
  <si>
    <t>Bill - 4imprint: TaskRight Sticky Pad - 3" x 3" (250), Mardi Gras Pen - 24 hr (250)</t>
  </si>
  <si>
    <t>402</t>
  </si>
  <si>
    <t>CC 2023 0925</t>
  </si>
  <si>
    <t>Bill - Amazon: CHROMEBOOK CHARGERS (50) - NO RECEIPT</t>
  </si>
  <si>
    <t>1000</t>
  </si>
  <si>
    <t>CC 2023 0928</t>
  </si>
  <si>
    <t>Bill - Amazon: FRACTION TILES, GEOMETRIC SHAPES, DRY ERASE LAPBOARDS, ETC. - NO RECEIPT</t>
  </si>
  <si>
    <t>CC 2023 0728 A</t>
  </si>
  <si>
    <t>Bill - Amazon: HALL PASSES LANYARD SETS (4) - NO RECEIPT</t>
  </si>
  <si>
    <t>CC 2023 1108</t>
  </si>
  <si>
    <t>Bill - Amazon: MATH POSTERS - NO RECEIPT</t>
  </si>
  <si>
    <t>CC 2023 1109 A</t>
  </si>
  <si>
    <t>Bill - Amazon: MUSIC GENRE POSTERS SET, COLOR CHANGING FLOOD LIGHT, LED LIGHTS - NO RECEIPT</t>
  </si>
  <si>
    <t>CC 2023 0726</t>
  </si>
  <si>
    <t>Bill - Amazon: New Year 23-24 School Supplies</t>
  </si>
  <si>
    <t>CC 2023 0727 A</t>
  </si>
  <si>
    <t>CC 2023 0817</t>
  </si>
  <si>
    <t>Bill - Amazon: NOTEBOOKS (20)</t>
  </si>
  <si>
    <t>CC 2023 0820 B</t>
  </si>
  <si>
    <t>Bill - Amazon: PENCIL POUCHES BULK, WALKIE TALKIES - NO RECEIPT</t>
  </si>
  <si>
    <t>CC 2023 0730 A</t>
  </si>
  <si>
    <t>Bill - Amazon: PVC MARKING TAPE, SAFETY MARKING TAPE (93) - NO RECEIPT</t>
  </si>
  <si>
    <t>CC 2023 0719 A</t>
  </si>
  <si>
    <t>Bill - Amazon: SCHOOL SUPPLIES</t>
  </si>
  <si>
    <t>CC 2023 0720</t>
  </si>
  <si>
    <t>CC 2023 0720 A</t>
  </si>
  <si>
    <t>CC 2023 0725</t>
  </si>
  <si>
    <t>CC 2023 0807</t>
  </si>
  <si>
    <t>2600</t>
  </si>
  <si>
    <t>CC 2023 0808 B</t>
  </si>
  <si>
    <t>CC 2023 0808 C</t>
  </si>
  <si>
    <t>CC 2023 0727 B</t>
  </si>
  <si>
    <t>Bill - Amazon: Solutionist School Supplies</t>
  </si>
  <si>
    <t>CC 2023 0727 C</t>
  </si>
  <si>
    <t>CC 2023 0730</t>
  </si>
  <si>
    <t>CC 2023 0814</t>
  </si>
  <si>
    <t>Bill - Amazon: STICKER LABELS (2), BINDERS (2) - NO RECEIPT</t>
  </si>
  <si>
    <t>CC 2023 0813</t>
  </si>
  <si>
    <t>Bill - Amazon: TRANSPARENT TAPE - NO RECEIPT</t>
  </si>
  <si>
    <t>CC 2023 0903</t>
  </si>
  <si>
    <t>Bill - DOLLAR DAYS: Pupil services- student locks for lockers</t>
  </si>
  <si>
    <t>51623</t>
  </si>
  <si>
    <t>Bill - MACCAP Consulting, LLC: Student books (200), workbooks (200)</t>
  </si>
  <si>
    <t>462</t>
  </si>
  <si>
    <t>CC 2023 0914</t>
  </si>
  <si>
    <t>CC 2023 0919</t>
  </si>
  <si>
    <t>CC 2023 0922</t>
  </si>
  <si>
    <t>CC 2023 1023</t>
  </si>
  <si>
    <t>CC 2023 1203</t>
  </si>
  <si>
    <t>CC 2023 1203 A</t>
  </si>
  <si>
    <t>4294067-00</t>
  </si>
  <si>
    <t>Bill - School Health Corporation: PILOT TEST AUDIOMETER W/DD65 V2 HEADSET</t>
  </si>
  <si>
    <t>IN000599049</t>
  </si>
  <si>
    <t>Bill - SchoolMate: UDA - Undated student agenda (250), page marker rulers (250)</t>
  </si>
  <si>
    <t>Bill - SP Branded School: Student Uniforms</t>
  </si>
  <si>
    <t>CC 2023 0825</t>
  </si>
  <si>
    <t>CC 2023 1214</t>
  </si>
  <si>
    <t>CC 2024 0211</t>
  </si>
  <si>
    <t>CC 2024 0204</t>
  </si>
  <si>
    <t>Bill - The Home Depot: To record CC purchase</t>
  </si>
  <si>
    <t>CC 2023 1019 A</t>
  </si>
  <si>
    <t>Bill - Amazon: ADMIN OFFICE SUPPLIES</t>
  </si>
  <si>
    <t>CC 2023 1027</t>
  </si>
  <si>
    <t>Bill - Amazon: Cleaning Supplies</t>
  </si>
  <si>
    <t>CC 2023 1027 C</t>
  </si>
  <si>
    <t>CC 2023 1006</t>
  </si>
  <si>
    <t>Bill - Amazon: Cleaning/Admin supplies</t>
  </si>
  <si>
    <t>CC 2023 0813 A</t>
  </si>
  <si>
    <t>Bill - Amazon: COUNTER TOP MICROWAVE OVEN, TRADE QUEST CLIPBOARDS, WALL CLOCKS, ETC. - NO RECEIPT</t>
  </si>
  <si>
    <t>CC 2023 1105 C</t>
  </si>
  <si>
    <t>Bill - Amazon: MESH SAFETY VEST, DISH SOAP - NO RECEIPT</t>
  </si>
  <si>
    <t>CC 2023 0803</t>
  </si>
  <si>
    <t>Bill - Atlanta Equipment: Furniture</t>
  </si>
  <si>
    <t>MC 1026</t>
  </si>
  <si>
    <t>Bill - Atlanta Office Liquidators: Furniture</t>
  </si>
  <si>
    <t>14106</t>
  </si>
  <si>
    <t>Bill - Atlanta Office Liquidators: Removal Service - Straight desk (4), Boat shape conference table, credenza w/ BBF and sliding doors, product delivery</t>
  </si>
  <si>
    <t>Bill - Dollar Tree: Administrative supplies - streamers, light set, creep cloths</t>
  </si>
  <si>
    <t>CC 2023 0820</t>
  </si>
  <si>
    <t>Bill - Family Dollar: Administrative expenses</t>
  </si>
  <si>
    <t>R 2023 1208</t>
  </si>
  <si>
    <t>Bill - Jocelyn Scott 1: Reimbursement for home depot trash bags</t>
  </si>
  <si>
    <t>Bill - Lowe's Hardware: Facility renovation</t>
  </si>
  <si>
    <t>CC 2023 0802</t>
  </si>
  <si>
    <t>Bill - Micro Center: Admin office technology</t>
  </si>
  <si>
    <t>R 2023 0721</t>
  </si>
  <si>
    <t>Bill - Patrice Meadows: MOBILE PEDESTAL &amp; SIDE TABLE REIMBURSEMENT - JUL 21 2023</t>
  </si>
  <si>
    <t>CC 2023 0806</t>
  </si>
  <si>
    <t>Bill - Sherwin Williams: Facility renovation (painting)</t>
  </si>
  <si>
    <t>DC 2023 0723</t>
  </si>
  <si>
    <t>Bill - Sherwin Williams: To record CC purchase</t>
  </si>
  <si>
    <t>CC 2023 0727</t>
  </si>
  <si>
    <t>Bill - The Home Depot: Facility renovation</t>
  </si>
  <si>
    <t>CC 2023 0827</t>
  </si>
  <si>
    <t>CC 2023 0917</t>
  </si>
  <si>
    <t>CC 2023 0917 A</t>
  </si>
  <si>
    <t>CC 2023 0917 B</t>
  </si>
  <si>
    <t>CC 2023 0917 C</t>
  </si>
  <si>
    <t>CC 2023 0724</t>
  </si>
  <si>
    <t>Bill - The Home Depot: Facility renovation (painting)</t>
  </si>
  <si>
    <t>CC 2023 0924</t>
  </si>
  <si>
    <t>CC 2023 1022</t>
  </si>
  <si>
    <t>CC 2023 1029</t>
  </si>
  <si>
    <t>CC 2024 0121</t>
  </si>
  <si>
    <t>CC 2024 0121 A</t>
  </si>
  <si>
    <t>169818683</t>
  </si>
  <si>
    <t>Bill - ULINE: Tork - Opticore dispenser (20), coffee and mug set, coffee mug</t>
  </si>
  <si>
    <t>Bill - Walgreens: Facility renovation</t>
  </si>
  <si>
    <t>TRUI ****6867 Credit Card Refund - Home Depot</t>
  </si>
  <si>
    <t>CRJ</t>
  </si>
  <si>
    <t>CC 2024 0123</t>
  </si>
  <si>
    <t>Bill - Custom Ink: Sport-Tek Competitor Performance Polo (13)</t>
  </si>
  <si>
    <t>Athletics - Cheerleading</t>
  </si>
  <si>
    <t>CDJ</t>
  </si>
  <si>
    <t>CC 2023 0817 C</t>
  </si>
  <si>
    <t>Bill - Amazon: CHEER T-SHIRTS (10) - NO RECEIPT</t>
  </si>
  <si>
    <t>2900</t>
  </si>
  <si>
    <t>CC 2023 0801</t>
  </si>
  <si>
    <t>Bill - Amazon: CHEER T-SHIRTS (11) - NO RECEIPT</t>
  </si>
  <si>
    <t>Bill - Amazon: CHEER T-SHIRTS, HAIR BOWS - NO RECEIPT</t>
  </si>
  <si>
    <t>919679975</t>
  </si>
  <si>
    <t>Bill - BSN Sports: Kyrie Low 5 (1)</t>
  </si>
  <si>
    <t>919251328</t>
  </si>
  <si>
    <t>Bill - BSN Sports: Kyrie Low 5 (2)</t>
  </si>
  <si>
    <t>Bill - Delta Apparel: Athletics- cheerleading</t>
  </si>
  <si>
    <t>R 2024 0112</t>
  </si>
  <si>
    <t>Bill - Glenn Bonsu: Reimbursement for concession items</t>
  </si>
  <si>
    <t>2659</t>
  </si>
  <si>
    <t>Bill - Sparkle Sports: Royal blue jersey shirt (25), custom name on back (3)</t>
  </si>
  <si>
    <t>CC 2023 0910 A</t>
  </si>
  <si>
    <t>Bill - Alamo Rent-A-Car: To record CC puchase</t>
  </si>
  <si>
    <t>CC 2023 1025 A</t>
  </si>
  <si>
    <t>Bill - Amazon: COLORED DICE, PLAYING CARDS, DOMINOES, NUMBER LINE BULLETIN BOARD SET - NO RECEIPT</t>
  </si>
  <si>
    <t>CC 2023 0719</t>
  </si>
  <si>
    <t>Bill - Amazon: To record CC purchase</t>
  </si>
  <si>
    <t>CC 2023 0720 B</t>
  </si>
  <si>
    <t>CC 2023 0728</t>
  </si>
  <si>
    <t>CC 2023 0808</t>
  </si>
  <si>
    <t>CC 2023 0922 B</t>
  </si>
  <si>
    <t>CC 2023 0922 D</t>
  </si>
  <si>
    <t>CC 2023 0928 C</t>
  </si>
  <si>
    <t>CC 2023 1108 A</t>
  </si>
  <si>
    <t>Bill - Amazon: WIRELESS PORTABLE CHARGER, MACBOOK PRO CASE - NO RECEIPT</t>
  </si>
  <si>
    <t>CC 2023 0928 B</t>
  </si>
  <si>
    <t>Bill - Amazon: WOMENS WORK BLAZER - NO RECEIPT</t>
  </si>
  <si>
    <t>000022 A</t>
  </si>
  <si>
    <t>Bill - Caution Productions: Remaining amount due - Yearbook Photos (252)</t>
  </si>
  <si>
    <t>CC 2023 0829</t>
  </si>
  <si>
    <t>Bill - Caution Productions: To record CC purchase</t>
  </si>
  <si>
    <t>CC 2023 0907</t>
  </si>
  <si>
    <t>CC 2023 0927</t>
  </si>
  <si>
    <t>CC 2023 1130</t>
  </si>
  <si>
    <t>CC 2023 1210</t>
  </si>
  <si>
    <t>CC 2024 0130</t>
  </si>
  <si>
    <t>CC 2024 0228</t>
  </si>
  <si>
    <t>CC 2024 0104</t>
  </si>
  <si>
    <t>Bill - Chick-Fil-A: EZCATER</t>
  </si>
  <si>
    <t>CC 2023 1109</t>
  </si>
  <si>
    <t>Bill - Chick-Fil-A: EZCATER - TO record CC purchase</t>
  </si>
  <si>
    <t>CC 2023 1103</t>
  </si>
  <si>
    <t>Bill - Chick-Fil-A: Morgan Lunch</t>
  </si>
  <si>
    <t>22295576111923</t>
  </si>
  <si>
    <t>Bill - Crystal Springs: 5G Purified Water (2), 5.0 Gallon bottle deposit (2), return (2), Delivery fee</t>
  </si>
  <si>
    <t>22295576102223</t>
  </si>
  <si>
    <t>Bill - Crystal Springs: 5G Purified Water (3), 5.0 Gallon bottle deposit (3), return (6), Delivery fee</t>
  </si>
  <si>
    <t>22295576092423</t>
  </si>
  <si>
    <t>Bill - Crystal Springs: Previous balance + Late Charge</t>
  </si>
  <si>
    <t>22295576</t>
  </si>
  <si>
    <t>Bill - Crystal Springs: Purified Water</t>
  </si>
  <si>
    <t>22295576 A</t>
  </si>
  <si>
    <t>68547025</t>
  </si>
  <si>
    <t>Bill - Custom Ink: Hanes essential Crewneck tshirt (215)</t>
  </si>
  <si>
    <t>68548297</t>
  </si>
  <si>
    <t>Bill - Custom Ink: Hanes essential Crewneck tshirt (35)</t>
  </si>
  <si>
    <t>29997</t>
  </si>
  <si>
    <t>Bill - CWF FLOORING, INC.: 5ft x 6ft Vertical glassless-lite dance mirrors w/ wheels (3)</t>
  </si>
  <si>
    <t>CC 2023 1129</t>
  </si>
  <si>
    <t>Bill - Dollar Tree: Family Engagement - Holiday Store</t>
  </si>
  <si>
    <t>CC 2024 0206</t>
  </si>
  <si>
    <t>Bill - Dollar Tree: To record CC purchase</t>
  </si>
  <si>
    <t>CC 2023 1116</t>
  </si>
  <si>
    <t>Bill - Dollar Tree: Various christmas decorations - stockings, light set, bell decor</t>
  </si>
  <si>
    <t>CC 2023 1105</t>
  </si>
  <si>
    <t>Bill - Dominos: 6th Grade Pizza Party</t>
  </si>
  <si>
    <t>CC 2023 1205</t>
  </si>
  <si>
    <t>Bill - Dominos: To record CC purchase</t>
  </si>
  <si>
    <t>CC 2023 1212</t>
  </si>
  <si>
    <t>Bill - Family Dollar: Holiday Gifts</t>
  </si>
  <si>
    <t>CC 2023 1221</t>
  </si>
  <si>
    <t>Bill - Five Below: Christmas Adoption</t>
  </si>
  <si>
    <t>CC 2023 1204</t>
  </si>
  <si>
    <t>Bill - Five Below: Family Engagement - Holiday Store</t>
  </si>
  <si>
    <t>Bill - Instacart: Subscription</t>
  </si>
  <si>
    <t>CC 2023 1231</t>
  </si>
  <si>
    <t>CC 2024 0107</t>
  </si>
  <si>
    <t>Bill - Instacart: To record CC purchase</t>
  </si>
  <si>
    <t>CC 2024 0211 A</t>
  </si>
  <si>
    <t>CC 2024 0214 A</t>
  </si>
  <si>
    <t>Bill - Party City: Admin- Decorations</t>
  </si>
  <si>
    <t>CC 2023 1112</t>
  </si>
  <si>
    <t>Bill - Party City: Homecoming Decor - Various latex balloons - white, black, red</t>
  </si>
  <si>
    <t>Bill - PAYPAL: SHEIN - Admin expenses- Blazers (sponsored by board)</t>
  </si>
  <si>
    <t>CC 2023 1102</t>
  </si>
  <si>
    <t>Bill - Popeye's: 5th Grade HBCU Lunch</t>
  </si>
  <si>
    <t>Bill - Popeye's: Staff food on 11/10/23</t>
  </si>
  <si>
    <t>Bill - Ross: Christmas Adoption</t>
  </si>
  <si>
    <t>R 2024 0107</t>
  </si>
  <si>
    <t>Bill - Shantel Alphabet: Reimbursement - Target &amp; Before Care</t>
  </si>
  <si>
    <t>Bill - The Children's Place: Christmas Adoption</t>
  </si>
  <si>
    <t>Q1843768</t>
  </si>
  <si>
    <t>Bill - Totally Promotional: Form Fitted Table Cover</t>
  </si>
  <si>
    <t>CC 2023 0103</t>
  </si>
  <si>
    <t>Bill - Walgreens: Internet Photo</t>
  </si>
  <si>
    <t>Bill - Walmart: Family luncheon supplies - balloons, cake</t>
  </si>
  <si>
    <t>CC 2023 1117</t>
  </si>
  <si>
    <t>Bill - Walmart: To record CC purchase</t>
  </si>
  <si>
    <t>CC 2023 1215</t>
  </si>
  <si>
    <t>Bill - Walmart: To record CC purchase - Teacher Supplies</t>
  </si>
  <si>
    <t>2023 1116</t>
  </si>
  <si>
    <t>Bill - Way Field Foods: Family Luncheon Supplies - ice, clear cups, napkins</t>
  </si>
  <si>
    <t>To Clear out Additional JE - Paypal SHEIN Purchase</t>
  </si>
  <si>
    <t>To Correct Beginning Balance on Paypal Account</t>
  </si>
  <si>
    <t>GJ</t>
  </si>
  <si>
    <t>TRUI ****6867 Credit Card Refund - Paypal Shein</t>
  </si>
  <si>
    <t>610.1 Total</t>
  </si>
  <si>
    <t>610.2 Total</t>
  </si>
  <si>
    <t>610.3 Total</t>
  </si>
  <si>
    <t>Grand Total</t>
  </si>
  <si>
    <t>Cleaning needs to be moved to 0410. $31,538</t>
  </si>
  <si>
    <t>Removed Eventbrite $8010 and ADP Fees $46,500 - remainder is Paypal fees</t>
  </si>
  <si>
    <t>To determine breakout:</t>
  </si>
  <si>
    <t>Contra</t>
  </si>
  <si>
    <t>Num taken from LFS column</t>
  </si>
  <si>
    <t>Breakdown based on Feb Payment sheet</t>
  </si>
  <si>
    <t>Refer to Revenue Tab</t>
  </si>
  <si>
    <t>Charter Fund - what is expected FY25? $100,000</t>
  </si>
  <si>
    <t>Same as FY24 - Facilities - none for FY25</t>
  </si>
  <si>
    <t>Same as FY24 - confirmed with Patrice</t>
  </si>
  <si>
    <t>ADP Fees (from Dues and Fees)</t>
  </si>
  <si>
    <t>Bulk Bookstore - English Books - Check with school</t>
  </si>
  <si>
    <t>Parent Liason Subtotal</t>
  </si>
  <si>
    <t>Position split 50% Title I Parent Liasonand Clerical</t>
  </si>
  <si>
    <t>Removed Alyshia Smith (moved to Salary schedule), Growing with Grace and Talk time speech (moved to Contracted services - Teachers)</t>
  </si>
  <si>
    <t>Follow up: review subscription benefits. Waiting on school determination</t>
  </si>
  <si>
    <t>Follow up: Possible to add additional curriculum materials. Waiting on school determination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</si>
</sst>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.00;&quot;$&quot;\ \(#,##0.00\)"/>
    <numFmt numFmtId="165" formatCode="#,##0.00;\(#,##0.00\)"/>
    <numFmt numFmtId="166" formatCode="\$#,###.00;\$\-#,###.00;\$0.00"/>
  </numFmts>
  <fonts count="22" x14ac:knownFonts="1">
    <font>
      <sz val="10"/>
      <name val="Arial"/>
      <family val="2"/>
    </font>
    <font>
      <sz val="14"/>
      <name val="Helvetica"/>
      <family val="2"/>
    </font>
    <font>
      <b/>
      <sz val="14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b/>
      <u val="singleAccounting"/>
      <sz val="10"/>
      <name val="Arial"/>
      <family val="2"/>
    </font>
    <font>
      <sz val="10"/>
      <color rgb="FFC00000"/>
      <name val="Arial"/>
      <family val="2"/>
    </font>
    <font>
      <b/>
      <sz val="10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EDEE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93">
    <xf numFmtId="0" fontId="0" fillId="0" borderId="0" xfId="0"/>
    <xf numFmtId="0" fontId="3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43" fontId="0" fillId="0" borderId="0" xfId="4" applyFont="1"/>
    <xf numFmtId="0" fontId="8" fillId="0" borderId="0" xfId="0" applyFont="1"/>
    <xf numFmtId="43" fontId="8" fillId="0" borderId="0" xfId="4" applyFont="1" applyBorder="1"/>
    <xf numFmtId="43" fontId="8" fillId="0" borderId="0" xfId="4" applyFont="1" applyFill="1" applyBorder="1"/>
    <xf numFmtId="0" fontId="7" fillId="0" borderId="0" xfId="0" applyFont="1" applyAlignment="1">
      <alignment horizontal="left"/>
    </xf>
    <xf numFmtId="43" fontId="7" fillId="0" borderId="0" xfId="4" applyFont="1" applyBorder="1" applyAlignment="1">
      <alignment horizontal="left"/>
    </xf>
    <xf numFmtId="166" fontId="7" fillId="0" borderId="0" xfId="0" applyNumberFormat="1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left"/>
    </xf>
    <xf numFmtId="43" fontId="9" fillId="0" borderId="0" xfId="4" applyFont="1" applyBorder="1" applyAlignment="1">
      <alignment horizontal="left"/>
    </xf>
    <xf numFmtId="166" fontId="9" fillId="0" borderId="0" xfId="0" applyNumberFormat="1" applyFont="1" applyAlignment="1">
      <alignment horizontal="left"/>
    </xf>
    <xf numFmtId="166" fontId="10" fillId="4" borderId="0" xfId="0" applyNumberFormat="1" applyFont="1" applyFill="1" applyAlignment="1">
      <alignment horizontal="left"/>
    </xf>
    <xf numFmtId="0" fontId="9" fillId="0" borderId="0" xfId="0" applyFont="1"/>
    <xf numFmtId="166" fontId="10" fillId="0" borderId="0" xfId="0" applyNumberFormat="1" applyFont="1" applyAlignment="1">
      <alignment horizontal="left"/>
    </xf>
    <xf numFmtId="0" fontId="11" fillId="0" borderId="0" xfId="0" applyFont="1"/>
    <xf numFmtId="43" fontId="8" fillId="0" borderId="0" xfId="4" applyFont="1" applyBorder="1" applyAlignment="1">
      <alignment horizontal="left"/>
    </xf>
    <xf numFmtId="166" fontId="12" fillId="0" borderId="0" xfId="0" applyNumberFormat="1" applyFont="1" applyAlignment="1">
      <alignment horizontal="left"/>
    </xf>
    <xf numFmtId="43" fontId="14" fillId="0" borderId="0" xfId="4" applyFont="1"/>
    <xf numFmtId="0" fontId="14" fillId="0" borderId="0" xfId="0" applyFont="1"/>
    <xf numFmtId="166" fontId="14" fillId="0" borderId="0" xfId="0" applyNumberFormat="1" applyFont="1"/>
    <xf numFmtId="43" fontId="3" fillId="2" borderId="0" xfId="4" applyFont="1" applyFill="1" applyAlignment="1">
      <alignment horizontal="left"/>
    </xf>
    <xf numFmtId="39" fontId="0" fillId="2" borderId="0" xfId="0" applyNumberFormat="1" applyFill="1"/>
    <xf numFmtId="0" fontId="13" fillId="0" borderId="0" xfId="0" applyFont="1" applyAlignment="1">
      <alignment horizontal="left"/>
    </xf>
    <xf numFmtId="43" fontId="7" fillId="0" borderId="0" xfId="4" applyFont="1" applyFill="1" applyBorder="1" applyAlignment="1">
      <alignment horizontal="left"/>
    </xf>
    <xf numFmtId="43" fontId="0" fillId="0" borderId="0" xfId="4" applyFont="1" applyFill="1"/>
    <xf numFmtId="0" fontId="13" fillId="0" borderId="0" xfId="0" applyFont="1"/>
    <xf numFmtId="43" fontId="3" fillId="5" borderId="0" xfId="4" applyFont="1" applyFill="1" applyAlignment="1">
      <alignment horizontal="left"/>
    </xf>
    <xf numFmtId="0" fontId="7" fillId="7" borderId="0" xfId="0" applyFont="1" applyFill="1" applyAlignment="1">
      <alignment horizontal="left"/>
    </xf>
    <xf numFmtId="165" fontId="3" fillId="5" borderId="0" xfId="0" applyNumberFormat="1" applyFont="1" applyFill="1" applyAlignment="1">
      <alignment horizontal="right"/>
    </xf>
    <xf numFmtId="0" fontId="16" fillId="0" borderId="0" xfId="0" applyFont="1"/>
    <xf numFmtId="43" fontId="1" fillId="2" borderId="0" xfId="4" applyFont="1" applyFill="1" applyAlignment="1">
      <alignment horizontal="left"/>
    </xf>
    <xf numFmtId="43" fontId="2" fillId="2" borderId="0" xfId="4" applyFont="1" applyFill="1" applyAlignment="1">
      <alignment horizontal="left"/>
    </xf>
    <xf numFmtId="43" fontId="0" fillId="2" borderId="0" xfId="4" applyFont="1" applyFill="1" applyAlignment="1">
      <alignment horizontal="left"/>
    </xf>
    <xf numFmtId="43" fontId="0" fillId="2" borderId="0" xfId="4" applyFont="1" applyFill="1"/>
    <xf numFmtId="43" fontId="3" fillId="2" borderId="1" xfId="4" applyFont="1" applyFill="1" applyBorder="1" applyAlignment="1">
      <alignment horizontal="left"/>
    </xf>
    <xf numFmtId="43" fontId="4" fillId="2" borderId="0" xfId="4" applyFont="1" applyFill="1" applyAlignment="1">
      <alignment horizontal="left"/>
    </xf>
    <xf numFmtId="43" fontId="5" fillId="2" borderId="0" xfId="4" applyFont="1" applyFill="1" applyAlignment="1">
      <alignment horizontal="left"/>
    </xf>
    <xf numFmtId="43" fontId="5" fillId="2" borderId="2" xfId="4" applyFont="1" applyFill="1" applyBorder="1" applyAlignment="1">
      <alignment horizontal="right"/>
    </xf>
    <xf numFmtId="43" fontId="5" fillId="2" borderId="3" xfId="4" applyFont="1" applyFill="1" applyBorder="1" applyAlignment="1">
      <alignment horizontal="right"/>
    </xf>
    <xf numFmtId="43" fontId="3" fillId="0" borderId="0" xfId="4" applyFont="1" applyAlignment="1">
      <alignment horizontal="left"/>
    </xf>
    <xf numFmtId="43" fontId="3" fillId="6" borderId="0" xfId="4" applyFont="1" applyFill="1" applyAlignment="1">
      <alignment horizontal="left"/>
    </xf>
    <xf numFmtId="43" fontId="5" fillId="2" borderId="4" xfId="4" applyFont="1" applyFill="1" applyBorder="1" applyAlignment="1">
      <alignment horizontal="right"/>
    </xf>
    <xf numFmtId="43" fontId="0" fillId="0" borderId="2" xfId="4" applyFont="1" applyBorder="1"/>
    <xf numFmtId="0" fontId="0" fillId="0" borderId="0" xfId="0" applyAlignment="1">
      <alignment horizontal="right"/>
    </xf>
    <xf numFmtId="43" fontId="0" fillId="0" borderId="0" xfId="0" applyNumberFormat="1"/>
    <xf numFmtId="10" fontId="0" fillId="0" borderId="0" xfId="0" applyNumberFormat="1"/>
    <xf numFmtId="0" fontId="3" fillId="2" borderId="0" xfId="0" quotePrefix="1" applyFont="1" applyFill="1" applyAlignment="1">
      <alignment horizontal="left"/>
    </xf>
    <xf numFmtId="0" fontId="17" fillId="0" borderId="0" xfId="0" applyFont="1" applyAlignment="1">
      <alignment horizontal="left" vertical="top" indent="1"/>
    </xf>
    <xf numFmtId="0" fontId="18" fillId="0" borderId="0" xfId="0" applyFont="1" applyAlignment="1">
      <alignment horizontal="left" vertical="top" indent="1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 vertical="top" wrapText="1" indent="1"/>
    </xf>
    <xf numFmtId="14" fontId="19" fillId="0" borderId="0" xfId="0" applyNumberFormat="1" applyFont="1" applyAlignment="1">
      <alignment horizontal="left" vertical="top" wrapText="1" indent="1"/>
    </xf>
    <xf numFmtId="49" fontId="20" fillId="8" borderId="0" xfId="0" applyNumberFormat="1" applyFont="1" applyFill="1" applyAlignment="1">
      <alignment horizontal="left" vertical="top" indent="1"/>
    </xf>
    <xf numFmtId="49" fontId="20" fillId="8" borderId="0" xfId="0" applyNumberFormat="1" applyFont="1" applyFill="1" applyAlignment="1">
      <alignment horizontal="right" vertical="top" indent="1"/>
    </xf>
    <xf numFmtId="14" fontId="18" fillId="0" borderId="0" xfId="0" applyNumberFormat="1" applyFont="1" applyAlignment="1">
      <alignment horizontal="left" vertical="top" indent="1"/>
    </xf>
    <xf numFmtId="49" fontId="18" fillId="0" borderId="0" xfId="0" applyNumberFormat="1" applyFont="1" applyAlignment="1">
      <alignment horizontal="left" vertical="top" indent="1"/>
    </xf>
    <xf numFmtId="0" fontId="18" fillId="0" borderId="0" xfId="0" applyFont="1" applyAlignment="1">
      <alignment horizontal="left" vertical="top" wrapText="1" indent="1"/>
    </xf>
    <xf numFmtId="4" fontId="18" fillId="0" borderId="0" xfId="0" applyNumberFormat="1" applyFont="1" applyAlignment="1">
      <alignment horizontal="right" vertical="top" indent="1"/>
    </xf>
    <xf numFmtId="0" fontId="21" fillId="0" borderId="0" xfId="0" applyFont="1" applyAlignment="1">
      <alignment horizontal="left" indent="1"/>
    </xf>
    <xf numFmtId="10" fontId="0" fillId="0" borderId="0" xfId="1" applyNumberFormat="1" applyFont="1"/>
    <xf numFmtId="0" fontId="0" fillId="0" borderId="0" xfId="0" applyAlignment="1">
      <alignment horizontal="left"/>
    </xf>
    <xf numFmtId="0" fontId="0" fillId="5" borderId="0" xfId="0" applyFill="1"/>
    <xf numFmtId="43" fontId="3" fillId="0" borderId="0" xfId="4" applyFont="1" applyFill="1" applyAlignment="1">
      <alignment horizontal="left"/>
    </xf>
    <xf numFmtId="165" fontId="3" fillId="0" borderId="0" xfId="0" applyNumberFormat="1" applyFont="1" applyAlignment="1">
      <alignment horizontal="right"/>
    </xf>
    <xf numFmtId="164" fontId="3" fillId="5" borderId="0" xfId="0" applyNumberFormat="1" applyFont="1" applyFill="1" applyAlignment="1">
      <alignment horizontal="right"/>
    </xf>
    <xf numFmtId="0" fontId="15" fillId="5" borderId="0" xfId="0" applyFont="1" applyFill="1"/>
    <xf numFmtId="0" fontId="3" fillId="2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3" fillId="5" borderId="0" xfId="0" applyFont="1" applyFill="1" applyAlignment="1">
      <alignment horizontal="left"/>
    </xf>
    <xf numFmtId="43" fontId="3" fillId="5" borderId="0" xfId="4" applyFont="1" applyFill="1" applyAlignment="1">
      <alignment horizontal="right"/>
    </xf>
    <xf numFmtId="43" fontId="3" fillId="9" borderId="0" xfId="4" applyFont="1" applyFill="1" applyAlignment="1">
      <alignment horizontal="left"/>
    </xf>
    <xf numFmtId="164" fontId="3" fillId="9" borderId="0" xfId="0" applyNumberFormat="1" applyFont="1" applyFill="1" applyAlignment="1">
      <alignment horizontal="right"/>
    </xf>
    <xf numFmtId="0" fontId="0" fillId="9" borderId="0" xfId="0" applyFill="1"/>
    <xf numFmtId="165" fontId="3" fillId="9" borderId="0" xfId="0" applyNumberFormat="1" applyFont="1" applyFill="1" applyAlignment="1">
      <alignment horizontal="right"/>
    </xf>
    <xf numFmtId="43" fontId="5" fillId="9" borderId="0" xfId="4" applyFont="1" applyFill="1" applyAlignment="1">
      <alignment horizontal="left"/>
    </xf>
    <xf numFmtId="0" fontId="3" fillId="9" borderId="0" xfId="0" applyFont="1" applyFill="1" applyAlignment="1">
      <alignment horizontal="left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28</xdr:col>
      <xdr:colOff>363896</xdr:colOff>
      <xdr:row>41</xdr:row>
      <xdr:rowOff>65715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296254-73DB-B280-2360-D6CA27822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0" y="167640"/>
          <a:ext cx="13946546" cy="67732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12</xdr:col>
      <xdr:colOff>210294</xdr:colOff>
      <xdr:row>54</xdr:row>
      <xdr:rowOff>143062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82E2C9-3CCA-29B0-E3E2-B38CCDEBE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040880"/>
          <a:ext cx="8588484" cy="2156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6"/>
  <sheetViews>
    <sheetView tabSelected="1" workbookViewId="0">
      <selection activeCell="F90" sqref="F90"/>
    </sheetView>
  </sheetViews>
  <sheetFormatPr defaultColWidth="9.109375" defaultRowHeight="13.2" x14ac:dyDescent="0.25"/>
  <cols>
    <col min="1" max="1" width="49.5546875" style="2" customWidth="1"/>
    <col min="2" max="2" width="14.6640625" style="50" bestFit="1" customWidth="1"/>
    <col min="3" max="4" width="13.5546875" style="2" customWidth="1"/>
    <col min="5" max="5" width="77.77734375" style="2" customWidth="1"/>
    <col min="6" max="6" width="30.21875" style="2" customWidth="1"/>
    <col min="7" max="16384" width="9.109375" style="2"/>
  </cols>
  <sheetData>
    <row r="1" spans="1:5" ht="17.399999999999999" x14ac:dyDescent="0.3">
      <c r="A1" s="4" t="s">
        <v>0</v>
      </c>
      <c r="B1" s="47"/>
    </row>
    <row r="2" spans="1:5" ht="17.399999999999999" x14ac:dyDescent="0.3">
      <c r="A2" s="5" t="s">
        <v>1</v>
      </c>
      <c r="B2" s="48"/>
    </row>
    <row r="3" spans="1:5" ht="17.399999999999999" x14ac:dyDescent="0.3">
      <c r="A3" s="4" t="s">
        <v>2</v>
      </c>
      <c r="B3" s="47"/>
    </row>
    <row r="4" spans="1:5" x14ac:dyDescent="0.25">
      <c r="A4" s="1" t="s">
        <v>3</v>
      </c>
      <c r="B4" s="37"/>
    </row>
    <row r="5" spans="1:5" x14ac:dyDescent="0.25">
      <c r="A5" s="3" t="s">
        <v>5</v>
      </c>
      <c r="B5" s="49"/>
    </row>
    <row r="6" spans="1:5" x14ac:dyDescent="0.25">
      <c r="A6" s="1" t="s">
        <v>5</v>
      </c>
      <c r="C6" s="6" t="s">
        <v>6</v>
      </c>
      <c r="D6" s="6" t="s">
        <v>7</v>
      </c>
    </row>
    <row r="7" spans="1:5" x14ac:dyDescent="0.25">
      <c r="A7" s="1" t="s">
        <v>5</v>
      </c>
      <c r="B7" s="51" t="s">
        <v>115</v>
      </c>
      <c r="C7" s="7" t="s">
        <v>4</v>
      </c>
      <c r="D7" s="7" t="s">
        <v>8</v>
      </c>
    </row>
    <row r="8" spans="1:5" x14ac:dyDescent="0.25">
      <c r="A8" s="8" t="s">
        <v>5</v>
      </c>
      <c r="B8" s="52"/>
      <c r="C8" s="9" t="s">
        <v>9</v>
      </c>
      <c r="D8" s="9" t="s">
        <v>10</v>
      </c>
    </row>
    <row r="9" spans="1:5" x14ac:dyDescent="0.25">
      <c r="A9" s="10" t="s">
        <v>11</v>
      </c>
      <c r="B9" s="53"/>
      <c r="C9" s="10" t="s">
        <v>12</v>
      </c>
      <c r="D9" s="10" t="s">
        <v>12</v>
      </c>
    </row>
    <row r="10" spans="1:5" x14ac:dyDescent="0.25">
      <c r="A10" s="10" t="s">
        <v>13</v>
      </c>
      <c r="B10" s="53"/>
      <c r="C10" s="1" t="s">
        <v>14</v>
      </c>
      <c r="D10" s="1" t="s">
        <v>14</v>
      </c>
    </row>
    <row r="11" spans="1:5" x14ac:dyDescent="0.25">
      <c r="A11" s="1" t="s">
        <v>15</v>
      </c>
      <c r="B11" s="87">
        <f>Revenue!C16</f>
        <v>2388410.2110766647</v>
      </c>
      <c r="C11" s="88">
        <v>365270</v>
      </c>
      <c r="D11" s="88">
        <v>0</v>
      </c>
      <c r="E11" s="89" t="s">
        <v>528</v>
      </c>
    </row>
    <row r="12" spans="1:5" x14ac:dyDescent="0.25">
      <c r="A12" s="1" t="s">
        <v>16</v>
      </c>
      <c r="B12" s="87">
        <f>Revenue!C13</f>
        <v>1619675.2071742387</v>
      </c>
      <c r="C12" s="90">
        <v>1953377</v>
      </c>
      <c r="D12" s="90">
        <v>2924189</v>
      </c>
      <c r="E12" s="89" t="s">
        <v>528</v>
      </c>
    </row>
    <row r="13" spans="1:5" x14ac:dyDescent="0.25">
      <c r="A13" s="1" t="s">
        <v>17</v>
      </c>
      <c r="B13" s="87">
        <f>Revenue!C14</f>
        <v>112126.53187927464</v>
      </c>
      <c r="C13" s="90">
        <v>17148</v>
      </c>
      <c r="D13" s="90">
        <v>0</v>
      </c>
      <c r="E13" s="89" t="s">
        <v>528</v>
      </c>
    </row>
    <row r="14" spans="1:5" x14ac:dyDescent="0.25">
      <c r="A14" s="1" t="s">
        <v>18</v>
      </c>
      <c r="B14" s="87">
        <f>Revenue!C15</f>
        <v>21787.124109035638</v>
      </c>
      <c r="C14" s="90">
        <v>3332</v>
      </c>
      <c r="D14" s="90">
        <v>0</v>
      </c>
      <c r="E14" s="89" t="s">
        <v>528</v>
      </c>
    </row>
    <row r="15" spans="1:5" x14ac:dyDescent="0.25">
      <c r="A15" s="1" t="s">
        <v>19</v>
      </c>
      <c r="B15" s="87">
        <f>Revenue!C10</f>
        <v>-410341.50943396229</v>
      </c>
      <c r="C15" s="90">
        <v>-53348</v>
      </c>
      <c r="D15" s="90">
        <v>0</v>
      </c>
      <c r="E15" s="89" t="s">
        <v>528</v>
      </c>
    </row>
    <row r="16" spans="1:5" x14ac:dyDescent="0.25">
      <c r="A16" s="1" t="s">
        <v>20</v>
      </c>
      <c r="B16" s="87">
        <v>0</v>
      </c>
      <c r="C16" s="90">
        <v>35140.69</v>
      </c>
      <c r="D16" s="90">
        <v>0</v>
      </c>
      <c r="E16" s="89" t="s">
        <v>530</v>
      </c>
    </row>
    <row r="17" spans="1:5" x14ac:dyDescent="0.25">
      <c r="A17" s="10" t="s">
        <v>21</v>
      </c>
      <c r="B17" s="54">
        <f>SUM(B11:B16)</f>
        <v>3731657.5648052515</v>
      </c>
      <c r="C17" s="13">
        <f>SUM(C11:C16)</f>
        <v>2320919.69</v>
      </c>
      <c r="D17" s="13">
        <f>SUM(D11:D16)</f>
        <v>2924189</v>
      </c>
    </row>
    <row r="18" spans="1:5" x14ac:dyDescent="0.25">
      <c r="A18" s="83" t="s">
        <v>5</v>
      </c>
      <c r="B18" s="83"/>
      <c r="C18" s="83"/>
      <c r="D18" s="83"/>
    </row>
    <row r="19" spans="1:5" x14ac:dyDescent="0.25">
      <c r="A19" s="10" t="s">
        <v>22</v>
      </c>
      <c r="B19" s="53"/>
      <c r="C19" s="1" t="s">
        <v>14</v>
      </c>
      <c r="D19" s="1" t="s">
        <v>14</v>
      </c>
    </row>
    <row r="20" spans="1:5" x14ac:dyDescent="0.25">
      <c r="A20" s="1" t="s">
        <v>23</v>
      </c>
      <c r="B20" s="37">
        <f>(C20/8)*12</f>
        <v>23751.584999999999</v>
      </c>
      <c r="C20" s="11">
        <v>15834.39</v>
      </c>
      <c r="D20" s="11">
        <v>3000</v>
      </c>
    </row>
    <row r="21" spans="1:5" x14ac:dyDescent="0.25">
      <c r="A21" s="1" t="s">
        <v>24</v>
      </c>
      <c r="B21" s="37">
        <f t="shared" ref="B21:B22" si="0">(C21/8)*12</f>
        <v>19632.18</v>
      </c>
      <c r="C21" s="12">
        <v>13088.12</v>
      </c>
      <c r="D21" s="12">
        <v>100000</v>
      </c>
    </row>
    <row r="22" spans="1:5" x14ac:dyDescent="0.25">
      <c r="A22" s="1" t="s">
        <v>25</v>
      </c>
      <c r="B22" s="37">
        <f t="shared" si="0"/>
        <v>61767.78</v>
      </c>
      <c r="C22" s="12">
        <v>41178.519999999997</v>
      </c>
      <c r="D22" s="12">
        <v>46000</v>
      </c>
    </row>
    <row r="23" spans="1:5" x14ac:dyDescent="0.25">
      <c r="A23" s="10" t="s">
        <v>26</v>
      </c>
      <c r="B23" s="54">
        <f>SUM(B20:B22)</f>
        <v>105151.545</v>
      </c>
      <c r="C23" s="13">
        <f>SUM(C20:C22)</f>
        <v>70101.03</v>
      </c>
      <c r="D23" s="13">
        <f>SUM(D20:D22)</f>
        <v>149000</v>
      </c>
    </row>
    <row r="24" spans="1:5" x14ac:dyDescent="0.25">
      <c r="A24" s="83" t="s">
        <v>5</v>
      </c>
      <c r="B24" s="83"/>
      <c r="C24" s="83"/>
      <c r="D24" s="83"/>
    </row>
    <row r="25" spans="1:5" x14ac:dyDescent="0.25">
      <c r="A25" s="10" t="s">
        <v>27</v>
      </c>
      <c r="B25" s="53"/>
      <c r="C25" s="1" t="s">
        <v>14</v>
      </c>
      <c r="D25" s="1" t="s">
        <v>14</v>
      </c>
    </row>
    <row r="26" spans="1:5" x14ac:dyDescent="0.25">
      <c r="A26" s="1" t="s">
        <v>28</v>
      </c>
      <c r="B26" s="87">
        <f>D26</f>
        <v>662180.31000000006</v>
      </c>
      <c r="C26" s="88">
        <v>156867.57</v>
      </c>
      <c r="D26" s="88">
        <v>662180.31000000006</v>
      </c>
      <c r="E26" s="89" t="s">
        <v>531</v>
      </c>
    </row>
    <row r="27" spans="1:5" x14ac:dyDescent="0.25">
      <c r="A27" s="1" t="s">
        <v>29</v>
      </c>
      <c r="B27" s="87">
        <v>0</v>
      </c>
      <c r="C27" s="90">
        <v>0</v>
      </c>
      <c r="D27" s="90">
        <v>0</v>
      </c>
      <c r="E27" s="89" t="s">
        <v>256</v>
      </c>
    </row>
    <row r="28" spans="1:5" x14ac:dyDescent="0.25">
      <c r="A28" s="10" t="s">
        <v>30</v>
      </c>
      <c r="B28" s="54">
        <f>SUM(B26:B27)</f>
        <v>662180.31000000006</v>
      </c>
      <c r="C28" s="13">
        <f>SUM(C26:C27)</f>
        <v>156867.57</v>
      </c>
      <c r="D28" s="13">
        <f>SUM(D26:D27)</f>
        <v>662180.31000000006</v>
      </c>
    </row>
    <row r="29" spans="1:5" x14ac:dyDescent="0.25">
      <c r="A29" s="83" t="s">
        <v>5</v>
      </c>
      <c r="B29" s="83"/>
      <c r="C29" s="83"/>
      <c r="D29" s="83"/>
    </row>
    <row r="30" spans="1:5" x14ac:dyDescent="0.25">
      <c r="A30" s="10" t="s">
        <v>31</v>
      </c>
      <c r="B30" s="53"/>
      <c r="C30" s="1" t="s">
        <v>14</v>
      </c>
      <c r="D30" s="1" t="s">
        <v>14</v>
      </c>
    </row>
    <row r="31" spans="1:5" x14ac:dyDescent="0.25">
      <c r="A31" s="1" t="s">
        <v>32</v>
      </c>
      <c r="B31" s="37">
        <f>D31</f>
        <v>87700.85</v>
      </c>
      <c r="C31" s="11">
        <v>71844.55</v>
      </c>
      <c r="D31" s="11">
        <v>87700.85</v>
      </c>
      <c r="E31" s="2" t="s">
        <v>233</v>
      </c>
    </row>
    <row r="32" spans="1:5" x14ac:dyDescent="0.25">
      <c r="A32" s="10" t="s">
        <v>33</v>
      </c>
      <c r="B32" s="54">
        <f>SUM(B31)</f>
        <v>87700.85</v>
      </c>
      <c r="C32" s="13">
        <f>SUM(C31)</f>
        <v>71844.55</v>
      </c>
      <c r="D32" s="13">
        <f>SUM(D31)</f>
        <v>87700.85</v>
      </c>
    </row>
    <row r="33" spans="1:5" x14ac:dyDescent="0.25">
      <c r="A33" s="10" t="s">
        <v>34</v>
      </c>
      <c r="B33" s="91"/>
      <c r="C33" s="92" t="s">
        <v>14</v>
      </c>
      <c r="D33" s="92" t="s">
        <v>14</v>
      </c>
      <c r="E33" s="89"/>
    </row>
    <row r="34" spans="1:5" x14ac:dyDescent="0.25">
      <c r="A34" s="1" t="s">
        <v>35</v>
      </c>
      <c r="B34" s="87">
        <v>100000</v>
      </c>
      <c r="C34" s="90">
        <v>270000</v>
      </c>
      <c r="D34" s="90">
        <v>500000</v>
      </c>
      <c r="E34" s="89" t="s">
        <v>529</v>
      </c>
    </row>
    <row r="35" spans="1:5" x14ac:dyDescent="0.25">
      <c r="A35" s="10" t="s">
        <v>36</v>
      </c>
      <c r="B35" s="54">
        <f>SUM(B34)</f>
        <v>100000</v>
      </c>
      <c r="C35" s="14">
        <f>SUM(C34)</f>
        <v>270000</v>
      </c>
      <c r="D35" s="14">
        <f>SUM(D34)</f>
        <v>500000</v>
      </c>
    </row>
    <row r="36" spans="1:5" x14ac:dyDescent="0.25">
      <c r="A36" s="10" t="s">
        <v>37</v>
      </c>
      <c r="B36" s="55">
        <f>B17+B23+B28+B32+B35</f>
        <v>4686690.2698052507</v>
      </c>
      <c r="C36" s="15">
        <f>C17+C23+C28+C32+C35</f>
        <v>2889732.8399999994</v>
      </c>
      <c r="D36" s="15">
        <f>D17+D23+D28+D32+D35</f>
        <v>4323070.16</v>
      </c>
    </row>
    <row r="37" spans="1:5" x14ac:dyDescent="0.25">
      <c r="A37" s="83" t="s">
        <v>5</v>
      </c>
      <c r="B37" s="83"/>
      <c r="C37" s="83"/>
      <c r="D37" s="83"/>
    </row>
    <row r="38" spans="1:5" x14ac:dyDescent="0.25">
      <c r="A38" s="83" t="s">
        <v>5</v>
      </c>
      <c r="B38" s="83"/>
      <c r="C38" s="83"/>
      <c r="D38" s="83"/>
    </row>
    <row r="39" spans="1:5" x14ac:dyDescent="0.25">
      <c r="A39" s="10" t="s">
        <v>38</v>
      </c>
      <c r="B39" s="53"/>
      <c r="C39" s="10" t="s">
        <v>12</v>
      </c>
      <c r="D39" s="10" t="s">
        <v>12</v>
      </c>
    </row>
    <row r="40" spans="1:5" x14ac:dyDescent="0.25">
      <c r="A40" s="10" t="s">
        <v>39</v>
      </c>
      <c r="B40" s="53"/>
      <c r="C40" s="1" t="s">
        <v>14</v>
      </c>
      <c r="D40" s="1" t="s">
        <v>14</v>
      </c>
    </row>
    <row r="41" spans="1:5" x14ac:dyDescent="0.25">
      <c r="A41" s="1" t="s">
        <v>40</v>
      </c>
      <c r="B41" s="37">
        <f>'Salary Schedule'!F17</f>
        <v>803746</v>
      </c>
      <c r="C41" s="11">
        <v>585044.15</v>
      </c>
      <c r="D41" s="11">
        <v>857827</v>
      </c>
    </row>
    <row r="42" spans="1:5" x14ac:dyDescent="0.25">
      <c r="A42" s="1" t="s">
        <v>41</v>
      </c>
      <c r="B42" s="37">
        <v>12000</v>
      </c>
      <c r="C42" s="12">
        <v>7995</v>
      </c>
      <c r="D42" s="12">
        <v>38826.949999999997</v>
      </c>
      <c r="E42" s="2" t="s">
        <v>224</v>
      </c>
    </row>
    <row r="43" spans="1:5" x14ac:dyDescent="0.25">
      <c r="A43" s="1" t="s">
        <v>42</v>
      </c>
      <c r="B43" s="37">
        <v>0</v>
      </c>
      <c r="C43" s="12">
        <v>85000</v>
      </c>
      <c r="D43" s="12">
        <v>58000</v>
      </c>
      <c r="E43" s="2" t="s">
        <v>222</v>
      </c>
    </row>
    <row r="44" spans="1:5" x14ac:dyDescent="0.25">
      <c r="A44" s="1" t="s">
        <v>43</v>
      </c>
      <c r="B44" s="37">
        <f>'Salary Schedule'!F24</f>
        <v>195073.5</v>
      </c>
      <c r="C44" s="12">
        <v>116253.04</v>
      </c>
      <c r="D44" s="12">
        <v>0</v>
      </c>
    </row>
    <row r="45" spans="1:5" x14ac:dyDescent="0.25">
      <c r="A45" s="1" t="s">
        <v>44</v>
      </c>
      <c r="B45" s="37">
        <f>'Salary Schedule'!F27</f>
        <v>110000</v>
      </c>
      <c r="C45" s="12">
        <v>71000</v>
      </c>
      <c r="D45" s="12">
        <v>105000</v>
      </c>
    </row>
    <row r="46" spans="1:5" x14ac:dyDescent="0.25">
      <c r="A46" s="1" t="s">
        <v>45</v>
      </c>
      <c r="B46" s="37">
        <f>'Salary Schedule'!F30</f>
        <v>75000</v>
      </c>
      <c r="C46" s="12">
        <v>43133.38</v>
      </c>
      <c r="D46" s="12">
        <v>70000</v>
      </c>
    </row>
    <row r="47" spans="1:5" x14ac:dyDescent="0.25">
      <c r="A47" s="1" t="s">
        <v>46</v>
      </c>
      <c r="B47" s="37">
        <f>'Salary Schedule'!F34</f>
        <v>51998</v>
      </c>
      <c r="C47" s="12">
        <v>56809.760000000002</v>
      </c>
      <c r="D47" s="12">
        <v>105000</v>
      </c>
    </row>
    <row r="48" spans="1:5" x14ac:dyDescent="0.25">
      <c r="A48" s="1" t="s">
        <v>47</v>
      </c>
      <c r="B48" s="37">
        <f>'Salary Schedule'!F38</f>
        <v>71250</v>
      </c>
      <c r="C48" s="12">
        <v>51583.38</v>
      </c>
      <c r="D48" s="12">
        <v>40000</v>
      </c>
    </row>
    <row r="49" spans="1:5" x14ac:dyDescent="0.25">
      <c r="A49" s="1" t="s">
        <v>48</v>
      </c>
      <c r="B49" s="37">
        <v>0</v>
      </c>
      <c r="C49" s="12">
        <v>41200</v>
      </c>
      <c r="D49" s="12">
        <v>61800</v>
      </c>
      <c r="E49" s="2" t="s">
        <v>189</v>
      </c>
    </row>
    <row r="50" spans="1:5" x14ac:dyDescent="0.25">
      <c r="A50" s="1" t="s">
        <v>49</v>
      </c>
      <c r="B50" s="79">
        <f>'Salary Schedule'!F41</f>
        <v>23750</v>
      </c>
      <c r="C50" s="80">
        <v>28800</v>
      </c>
      <c r="D50" s="80">
        <v>60000</v>
      </c>
      <c r="E50" t="s">
        <v>225</v>
      </c>
    </row>
    <row r="51" spans="1:5" x14ac:dyDescent="0.25">
      <c r="A51" s="1" t="s">
        <v>50</v>
      </c>
      <c r="B51" s="37">
        <v>0</v>
      </c>
      <c r="C51" s="12">
        <v>13528.75</v>
      </c>
      <c r="D51" s="12">
        <v>20000</v>
      </c>
      <c r="E51" s="2" t="s">
        <v>190</v>
      </c>
    </row>
    <row r="52" spans="1:5" x14ac:dyDescent="0.25">
      <c r="A52" s="1" t="s">
        <v>51</v>
      </c>
      <c r="B52" s="37">
        <f>'Salary Schedule'!F44</f>
        <v>60000</v>
      </c>
      <c r="C52" s="12">
        <v>37375.050000000003</v>
      </c>
      <c r="D52" s="12">
        <v>55000</v>
      </c>
    </row>
    <row r="53" spans="1:5" x14ac:dyDescent="0.25">
      <c r="A53" s="1" t="s">
        <v>52</v>
      </c>
      <c r="B53" s="37">
        <v>0</v>
      </c>
      <c r="C53" s="12">
        <v>2000</v>
      </c>
      <c r="D53" s="12">
        <v>0</v>
      </c>
    </row>
    <row r="54" spans="1:5" x14ac:dyDescent="0.25">
      <c r="A54" s="1" t="s">
        <v>53</v>
      </c>
      <c r="B54" s="37">
        <f>'Salary Schedule'!F49</f>
        <v>145000</v>
      </c>
      <c r="C54" s="12">
        <v>79302.039999999994</v>
      </c>
      <c r="D54" s="12">
        <v>136725</v>
      </c>
    </row>
    <row r="55" spans="1:5" x14ac:dyDescent="0.25">
      <c r="A55" s="1" t="s">
        <v>54</v>
      </c>
      <c r="B55" s="37">
        <f>'Salary Schedule'!F56</f>
        <v>352500</v>
      </c>
      <c r="C55" s="12">
        <v>129602.82</v>
      </c>
      <c r="D55" s="12">
        <v>130000</v>
      </c>
    </row>
    <row r="56" spans="1:5" x14ac:dyDescent="0.25">
      <c r="A56" s="1" t="s">
        <v>55</v>
      </c>
      <c r="B56" s="37">
        <f>(2000*6)+(6*3000)+17000</f>
        <v>47000</v>
      </c>
      <c r="C56" s="12">
        <v>18837</v>
      </c>
      <c r="D56" s="12">
        <v>0</v>
      </c>
      <c r="E56" s="2" t="s">
        <v>223</v>
      </c>
    </row>
    <row r="57" spans="1:5" x14ac:dyDescent="0.25">
      <c r="A57" s="1" t="s">
        <v>56</v>
      </c>
      <c r="B57" s="37">
        <v>0</v>
      </c>
      <c r="C57" s="12">
        <v>0</v>
      </c>
      <c r="D57" s="12">
        <v>754</v>
      </c>
    </row>
    <row r="58" spans="1:5" x14ac:dyDescent="0.25">
      <c r="A58" s="1" t="s">
        <v>57</v>
      </c>
      <c r="B58" s="37">
        <f>'Salary Schedule'!G60</f>
        <v>113330.52</v>
      </c>
      <c r="C58" s="12">
        <v>35557.81</v>
      </c>
      <c r="D58" s="12">
        <v>23798</v>
      </c>
    </row>
    <row r="59" spans="1:5" x14ac:dyDescent="0.25">
      <c r="A59" s="1" t="s">
        <v>58</v>
      </c>
      <c r="B59" s="37">
        <f>'Salary Schedule'!I60</f>
        <v>144456.28875000001</v>
      </c>
      <c r="C59" s="12">
        <v>40077.69</v>
      </c>
      <c r="D59" s="12">
        <v>40224.5</v>
      </c>
    </row>
    <row r="60" spans="1:5" x14ac:dyDescent="0.25">
      <c r="A60" s="1" t="s">
        <v>59</v>
      </c>
      <c r="B60" s="37">
        <f>'Salary Schedule'!H60</f>
        <v>392392.37650000001</v>
      </c>
      <c r="C60" s="12">
        <v>240879.31</v>
      </c>
      <c r="D60" s="12">
        <v>311598.49</v>
      </c>
    </row>
    <row r="61" spans="1:5" x14ac:dyDescent="0.25">
      <c r="A61" s="1" t="s">
        <v>60</v>
      </c>
      <c r="B61" s="37">
        <f>'Salary Schedule'!K60</f>
        <v>42298.312000000005</v>
      </c>
      <c r="C61" s="12">
        <v>9468.7900000000009</v>
      </c>
      <c r="D61" s="12">
        <v>1409.8</v>
      </c>
    </row>
    <row r="62" spans="1:5" x14ac:dyDescent="0.25">
      <c r="A62" s="1" t="s">
        <v>61</v>
      </c>
      <c r="B62" s="37">
        <v>0</v>
      </c>
      <c r="C62" s="12">
        <v>0</v>
      </c>
      <c r="D62" s="12">
        <v>16687.21</v>
      </c>
      <c r="E62" s="2" t="s">
        <v>191</v>
      </c>
    </row>
    <row r="63" spans="1:5" x14ac:dyDescent="0.25">
      <c r="A63" s="85" t="s">
        <v>255</v>
      </c>
      <c r="B63" s="86">
        <f>'Salary Schedule'!J60+15000</f>
        <v>86378.401500000007</v>
      </c>
      <c r="C63" s="45">
        <f>'Salary Schedule'!J60+46500</f>
        <v>117878.40150000001</v>
      </c>
      <c r="D63" s="45"/>
      <c r="E63" s="78" t="s">
        <v>532</v>
      </c>
    </row>
    <row r="64" spans="1:5" x14ac:dyDescent="0.25">
      <c r="A64" s="10" t="s">
        <v>62</v>
      </c>
      <c r="B64" s="54">
        <f>SUM(B41:B63)</f>
        <v>2726173.3987500002</v>
      </c>
      <c r="C64" s="13">
        <f>SUM(C41:C63)</f>
        <v>1811326.3715000001</v>
      </c>
      <c r="D64" s="13">
        <f>SUM(D41:D63)</f>
        <v>2132650.9499999997</v>
      </c>
    </row>
    <row r="65" spans="1:6" x14ac:dyDescent="0.25">
      <c r="A65" s="83" t="s">
        <v>5</v>
      </c>
      <c r="B65" s="83"/>
      <c r="C65" s="83"/>
      <c r="D65" s="83"/>
    </row>
    <row r="66" spans="1:6" x14ac:dyDescent="0.25">
      <c r="A66" s="10" t="s">
        <v>63</v>
      </c>
      <c r="B66" s="53"/>
      <c r="C66" s="1" t="s">
        <v>14</v>
      </c>
      <c r="D66" s="1" t="s">
        <v>14</v>
      </c>
    </row>
    <row r="67" spans="1:6" x14ac:dyDescent="0.25">
      <c r="A67" s="1" t="s">
        <v>64</v>
      </c>
      <c r="B67" s="43">
        <v>75000</v>
      </c>
      <c r="C67" s="11">
        <f>90175.1-37500-14040-19166</f>
        <v>19469.100000000006</v>
      </c>
      <c r="D67" s="11">
        <v>147019.76999999999</v>
      </c>
      <c r="E67" s="89" t="s">
        <v>536</v>
      </c>
    </row>
    <row r="68" spans="1:6" x14ac:dyDescent="0.25">
      <c r="A68" s="1" t="s">
        <v>235</v>
      </c>
      <c r="B68" s="87">
        <v>20000</v>
      </c>
      <c r="C68" s="88"/>
      <c r="D68" s="88"/>
      <c r="E68" s="89" t="s">
        <v>252</v>
      </c>
      <c r="F68" s="89"/>
    </row>
    <row r="69" spans="1:6" x14ac:dyDescent="0.25">
      <c r="A69" s="1" t="s">
        <v>237</v>
      </c>
      <c r="B69" s="56">
        <v>15000</v>
      </c>
      <c r="C69" s="11">
        <v>2239.98</v>
      </c>
      <c r="D69" s="11"/>
    </row>
    <row r="70" spans="1:6" x14ac:dyDescent="0.25">
      <c r="A70" s="1" t="s">
        <v>236</v>
      </c>
      <c r="B70" s="87">
        <f>(7435*12)+12000</f>
        <v>101220</v>
      </c>
      <c r="C70" s="11">
        <v>82826.33</v>
      </c>
      <c r="D70" s="11"/>
      <c r="E70" s="89" t="s">
        <v>251</v>
      </c>
    </row>
    <row r="71" spans="1:6" x14ac:dyDescent="0.25">
      <c r="A71" s="1" t="s">
        <v>65</v>
      </c>
      <c r="B71" s="43">
        <v>7500</v>
      </c>
      <c r="C71" s="12">
        <v>100</v>
      </c>
      <c r="D71" s="12">
        <v>10000</v>
      </c>
      <c r="E71"/>
    </row>
    <row r="72" spans="1:6" x14ac:dyDescent="0.25">
      <c r="A72" s="1" t="s">
        <v>192</v>
      </c>
      <c r="B72" s="37">
        <v>5000</v>
      </c>
      <c r="C72" s="12">
        <v>2583</v>
      </c>
      <c r="D72" s="12">
        <v>5000</v>
      </c>
    </row>
    <row r="73" spans="1:6" x14ac:dyDescent="0.25">
      <c r="A73" s="1" t="s">
        <v>239</v>
      </c>
      <c r="B73" s="87">
        <f>(C73/8)*12</f>
        <v>68049</v>
      </c>
      <c r="C73" s="12">
        <f>12160+19166+14040</f>
        <v>45366</v>
      </c>
      <c r="D73" s="12"/>
      <c r="E73" s="89" t="s">
        <v>257</v>
      </c>
    </row>
    <row r="74" spans="1:6" x14ac:dyDescent="0.25">
      <c r="A74" s="1" t="s">
        <v>66</v>
      </c>
      <c r="B74" s="57">
        <f>22000+(4000*4)</f>
        <v>38000</v>
      </c>
      <c r="C74" s="12">
        <v>38505.54</v>
      </c>
      <c r="D74" s="12">
        <v>0</v>
      </c>
      <c r="E74" s="2" t="s">
        <v>258</v>
      </c>
    </row>
    <row r="75" spans="1:6" x14ac:dyDescent="0.25">
      <c r="A75" s="1" t="s">
        <v>67</v>
      </c>
      <c r="B75" s="37">
        <v>500</v>
      </c>
      <c r="C75" s="12">
        <v>384</v>
      </c>
      <c r="D75" s="12">
        <v>0</v>
      </c>
    </row>
    <row r="76" spans="1:6" x14ac:dyDescent="0.25">
      <c r="A76" s="10" t="s">
        <v>68</v>
      </c>
      <c r="B76" s="54">
        <f>SUM(B67:B75)</f>
        <v>330269</v>
      </c>
      <c r="C76" s="13">
        <f>SUM(C67:C75)</f>
        <v>191473.95</v>
      </c>
      <c r="D76" s="13">
        <f>SUM(D67:D75)</f>
        <v>162019.76999999999</v>
      </c>
    </row>
    <row r="77" spans="1:6" x14ac:dyDescent="0.25">
      <c r="A77" s="83" t="s">
        <v>5</v>
      </c>
      <c r="B77" s="83"/>
      <c r="C77" s="83"/>
      <c r="D77" s="83"/>
    </row>
    <row r="78" spans="1:6" x14ac:dyDescent="0.25">
      <c r="A78" s="10" t="s">
        <v>69</v>
      </c>
      <c r="B78" s="53"/>
      <c r="C78" s="1" t="s">
        <v>14</v>
      </c>
      <c r="D78" s="1" t="s">
        <v>14</v>
      </c>
    </row>
    <row r="79" spans="1:6" x14ac:dyDescent="0.25">
      <c r="A79" s="1" t="s">
        <v>70</v>
      </c>
      <c r="B79" s="37">
        <f>(C79/8)*12</f>
        <v>9107.1450000000114</v>
      </c>
      <c r="C79" s="11">
        <f>55436.53-5303.4-('Supplies Breakout'!H51+'Supplies Breakout'!H88-'Supplies Breakout'!I88+'Supplies Breakout'!H99)</f>
        <v>6071.4300000000076</v>
      </c>
      <c r="D79" s="11">
        <v>79474.27</v>
      </c>
      <c r="E79" s="78" t="s">
        <v>253</v>
      </c>
    </row>
    <row r="80" spans="1:6" x14ac:dyDescent="0.25">
      <c r="A80" s="63" t="s">
        <v>259</v>
      </c>
      <c r="B80" s="43">
        <f>(C80/8)*12</f>
        <v>29195.204999999994</v>
      </c>
      <c r="C80" s="81">
        <f>'Supplies Breakout'!H51</f>
        <v>19463.469999999998</v>
      </c>
      <c r="D80" s="81"/>
      <c r="E80" s="78"/>
    </row>
    <row r="81" spans="1:14" x14ac:dyDescent="0.25">
      <c r="A81" s="63" t="s">
        <v>260</v>
      </c>
      <c r="B81" s="43">
        <f>(C81/8)*12</f>
        <v>17306.009999999991</v>
      </c>
      <c r="C81" s="81">
        <f>'Supplies Breakout'!H88-'Supplies Breakout'!I88</f>
        <v>11537.339999999995</v>
      </c>
      <c r="D81" s="81"/>
      <c r="E81" s="78"/>
    </row>
    <row r="82" spans="1:14" x14ac:dyDescent="0.25">
      <c r="A82" s="63" t="s">
        <v>261</v>
      </c>
      <c r="B82" s="43">
        <f>(C82/8)*12</f>
        <v>19591.334999999995</v>
      </c>
      <c r="C82" s="81">
        <f>'Supplies Breakout'!H99</f>
        <v>13060.889999999998</v>
      </c>
      <c r="D82" s="81"/>
      <c r="E82" s="78"/>
    </row>
    <row r="83" spans="1:14" x14ac:dyDescent="0.25">
      <c r="A83" s="1" t="s">
        <v>71</v>
      </c>
      <c r="B83" s="37">
        <v>5000</v>
      </c>
      <c r="C83" s="12">
        <v>20536.23</v>
      </c>
      <c r="D83" s="12">
        <v>11908.45</v>
      </c>
      <c r="E83" s="2" t="s">
        <v>193</v>
      </c>
      <c r="F83" s="2" t="s">
        <v>203</v>
      </c>
    </row>
    <row r="84" spans="1:14" x14ac:dyDescent="0.25">
      <c r="A84" s="1" t="s">
        <v>72</v>
      </c>
      <c r="B84" s="43">
        <v>40775.33</v>
      </c>
      <c r="C84" s="45">
        <v>30365</v>
      </c>
      <c r="D84" s="45">
        <v>40775.33</v>
      </c>
      <c r="E84" s="78" t="s">
        <v>537</v>
      </c>
    </row>
    <row r="85" spans="1:14" x14ac:dyDescent="0.25">
      <c r="A85" s="1" t="s">
        <v>73</v>
      </c>
      <c r="B85" s="56">
        <v>0</v>
      </c>
      <c r="C85" s="12">
        <v>44206.35</v>
      </c>
      <c r="D85" s="12">
        <v>2289.15</v>
      </c>
      <c r="E85" s="2" t="s">
        <v>201</v>
      </c>
    </row>
    <row r="86" spans="1:14" x14ac:dyDescent="0.25">
      <c r="A86" s="1" t="s">
        <v>74</v>
      </c>
      <c r="B86" s="37">
        <f>(340*50)+(1000*5)</f>
        <v>22000</v>
      </c>
      <c r="C86" s="12">
        <v>13415.48</v>
      </c>
      <c r="D86" s="12">
        <v>33866.67</v>
      </c>
      <c r="E86" s="2" t="s">
        <v>226</v>
      </c>
      <c r="N86" s="38"/>
    </row>
    <row r="87" spans="1:14" x14ac:dyDescent="0.25">
      <c r="A87" s="1" t="s">
        <v>75</v>
      </c>
      <c r="B87" s="43">
        <v>20000</v>
      </c>
      <c r="C87" s="45">
        <v>782.92</v>
      </c>
      <c r="D87" s="45">
        <v>20000</v>
      </c>
      <c r="E87" s="78" t="s">
        <v>538</v>
      </c>
    </row>
    <row r="88" spans="1:14" x14ac:dyDescent="0.25">
      <c r="A88" s="1" t="s">
        <v>76</v>
      </c>
      <c r="B88" s="43"/>
      <c r="C88" s="45">
        <f>359.25+2834.67</f>
        <v>3193.92</v>
      </c>
      <c r="D88" s="45">
        <v>0</v>
      </c>
      <c r="E88" s="78" t="s">
        <v>533</v>
      </c>
    </row>
    <row r="89" spans="1:14" x14ac:dyDescent="0.25">
      <c r="A89" s="1" t="s">
        <v>77</v>
      </c>
      <c r="B89" s="37">
        <v>15000</v>
      </c>
      <c r="C89" s="12">
        <v>8529.2999999999993</v>
      </c>
      <c r="D89" s="12">
        <v>10000</v>
      </c>
      <c r="E89" s="2" t="s">
        <v>228</v>
      </c>
      <c r="F89" s="2" t="s">
        <v>227</v>
      </c>
    </row>
    <row r="90" spans="1:14" x14ac:dyDescent="0.25">
      <c r="A90" s="1" t="s">
        <v>78</v>
      </c>
      <c r="B90" s="37">
        <v>5000</v>
      </c>
      <c r="C90" s="12">
        <v>3855</v>
      </c>
      <c r="D90" s="12">
        <v>0</v>
      </c>
      <c r="E90" t="s">
        <v>229</v>
      </c>
    </row>
    <row r="91" spans="1:14" x14ac:dyDescent="0.25">
      <c r="A91" s="10" t="s">
        <v>79</v>
      </c>
      <c r="B91" s="54">
        <f>SUM(B79:B90)</f>
        <v>182975.02499999999</v>
      </c>
      <c r="C91" s="13">
        <f>SUM(C79:C90)</f>
        <v>175017.33000000002</v>
      </c>
      <c r="D91" s="13">
        <f>SUM(D79:D90)</f>
        <v>198313.87</v>
      </c>
    </row>
    <row r="92" spans="1:14" x14ac:dyDescent="0.25">
      <c r="A92" s="83" t="s">
        <v>5</v>
      </c>
      <c r="B92" s="83"/>
      <c r="C92" s="83"/>
      <c r="D92" s="83"/>
    </row>
    <row r="93" spans="1:14" x14ac:dyDescent="0.25">
      <c r="A93" s="10" t="s">
        <v>80</v>
      </c>
      <c r="B93" s="53"/>
      <c r="C93" s="1" t="s">
        <v>14</v>
      </c>
      <c r="D93" s="1" t="s">
        <v>14</v>
      </c>
    </row>
    <row r="94" spans="1:14" x14ac:dyDescent="0.25">
      <c r="A94" s="1" t="s">
        <v>81</v>
      </c>
      <c r="B94" s="37">
        <f>40500+5000</f>
        <v>45500</v>
      </c>
      <c r="C94" s="11">
        <f>59.9+31538</f>
        <v>31597.9</v>
      </c>
      <c r="D94" s="11">
        <v>4653.6000000000004</v>
      </c>
      <c r="E94" s="2" t="s">
        <v>230</v>
      </c>
    </row>
    <row r="95" spans="1:14" x14ac:dyDescent="0.25">
      <c r="A95" s="1" t="s">
        <v>82</v>
      </c>
      <c r="B95" s="37">
        <f>((C95/8)*4)+31822.83</f>
        <v>47734.245000000003</v>
      </c>
      <c r="C95" s="12">
        <v>31822.83</v>
      </c>
      <c r="D95" s="12">
        <v>28064.11</v>
      </c>
      <c r="E95" s="2" t="s">
        <v>194</v>
      </c>
    </row>
    <row r="96" spans="1:14" x14ac:dyDescent="0.25">
      <c r="A96" s="1" t="s">
        <v>83</v>
      </c>
      <c r="B96" s="37">
        <v>10000</v>
      </c>
      <c r="C96" s="12">
        <f>6504.7+10000+5303.4</f>
        <v>21808.1</v>
      </c>
      <c r="D96" s="12">
        <v>1940.71</v>
      </c>
      <c r="E96" s="2" t="s">
        <v>195</v>
      </c>
    </row>
    <row r="97" spans="1:6" x14ac:dyDescent="0.25">
      <c r="A97" s="1" t="s">
        <v>84</v>
      </c>
      <c r="B97" s="37">
        <f>51000*12</f>
        <v>612000</v>
      </c>
      <c r="C97" s="12">
        <v>240553.5</v>
      </c>
      <c r="D97" s="12">
        <v>456237.36</v>
      </c>
    </row>
    <row r="98" spans="1:6" x14ac:dyDescent="0.25">
      <c r="A98" s="1" t="s">
        <v>85</v>
      </c>
      <c r="B98" s="37">
        <v>15000</v>
      </c>
      <c r="C98" s="12">
        <f>54798.12-31538-10000</f>
        <v>13260.120000000003</v>
      </c>
      <c r="D98" s="12">
        <v>95234.93</v>
      </c>
      <c r="E98" s="2" t="s">
        <v>522</v>
      </c>
      <c r="F98" s="2" t="s">
        <v>202</v>
      </c>
    </row>
    <row r="99" spans="1:6" x14ac:dyDescent="0.25">
      <c r="A99" s="10" t="s">
        <v>86</v>
      </c>
      <c r="B99" s="54">
        <f>SUM(B94:B98)</f>
        <v>730234.245</v>
      </c>
      <c r="C99" s="13">
        <f>SUM(C94:C98)</f>
        <v>339042.45</v>
      </c>
      <c r="D99" s="13">
        <f>SUM(D94:D98)</f>
        <v>586130.71</v>
      </c>
    </row>
    <row r="100" spans="1:6" x14ac:dyDescent="0.25">
      <c r="A100" s="83" t="s">
        <v>5</v>
      </c>
      <c r="B100" s="83"/>
      <c r="C100" s="83"/>
      <c r="D100" s="83"/>
    </row>
    <row r="101" spans="1:6" x14ac:dyDescent="0.25">
      <c r="A101" s="10" t="s">
        <v>87</v>
      </c>
      <c r="B101" s="53"/>
      <c r="C101" s="1" t="s">
        <v>14</v>
      </c>
      <c r="D101" s="1" t="s">
        <v>14</v>
      </c>
    </row>
    <row r="102" spans="1:6" x14ac:dyDescent="0.25">
      <c r="A102" s="1" t="s">
        <v>88</v>
      </c>
      <c r="B102" s="43">
        <f>(C102/8)*10</f>
        <v>96914.85</v>
      </c>
      <c r="C102" s="81">
        <v>77531.88</v>
      </c>
      <c r="D102" s="81">
        <v>105663.67999999999</v>
      </c>
      <c r="E102" s="82" t="s">
        <v>204</v>
      </c>
    </row>
    <row r="103" spans="1:6" x14ac:dyDescent="0.25">
      <c r="A103" s="1" t="s">
        <v>89</v>
      </c>
      <c r="B103" s="37">
        <v>0</v>
      </c>
      <c r="C103" s="12">
        <v>0</v>
      </c>
      <c r="D103" s="12">
        <v>2666.67</v>
      </c>
    </row>
    <row r="104" spans="1:6" x14ac:dyDescent="0.25">
      <c r="A104" s="10" t="s">
        <v>90</v>
      </c>
      <c r="B104" s="54">
        <f>SUM(B102:B103)</f>
        <v>96914.85</v>
      </c>
      <c r="C104" s="13">
        <f>SUM(C102:C103)</f>
        <v>77531.88</v>
      </c>
      <c r="D104" s="13">
        <f>SUM(D102:D103)</f>
        <v>108330.34999999999</v>
      </c>
    </row>
    <row r="105" spans="1:6" x14ac:dyDescent="0.25">
      <c r="A105" s="83" t="s">
        <v>5</v>
      </c>
      <c r="B105" s="83"/>
      <c r="C105" s="83"/>
      <c r="D105" s="83"/>
    </row>
    <row r="106" spans="1:6" x14ac:dyDescent="0.25">
      <c r="A106" s="10" t="s">
        <v>91</v>
      </c>
      <c r="B106" s="53"/>
      <c r="C106" s="1" t="s">
        <v>14</v>
      </c>
      <c r="D106" s="1" t="s">
        <v>14</v>
      </c>
    </row>
    <row r="107" spans="1:6" x14ac:dyDescent="0.25">
      <c r="A107" s="1" t="s">
        <v>92</v>
      </c>
      <c r="B107" s="37">
        <v>137787.72</v>
      </c>
      <c r="C107" s="11">
        <v>91997.74</v>
      </c>
      <c r="D107" s="11">
        <v>137787.72</v>
      </c>
      <c r="E107" s="2" t="s">
        <v>196</v>
      </c>
    </row>
    <row r="108" spans="1:6" x14ac:dyDescent="0.25">
      <c r="A108" s="10" t="s">
        <v>93</v>
      </c>
      <c r="B108" s="54">
        <f>SUM(B107)</f>
        <v>137787.72</v>
      </c>
      <c r="C108" s="13">
        <f>SUM(C107)</f>
        <v>91997.74</v>
      </c>
      <c r="D108" s="13">
        <f>SUM(D107)</f>
        <v>137787.72</v>
      </c>
    </row>
    <row r="109" spans="1:6" x14ac:dyDescent="0.25">
      <c r="A109" s="83" t="s">
        <v>5</v>
      </c>
      <c r="B109" s="83"/>
      <c r="C109" s="83"/>
      <c r="D109" s="83"/>
    </row>
    <row r="110" spans="1:6" x14ac:dyDescent="0.25">
      <c r="A110" s="10" t="s">
        <v>94</v>
      </c>
      <c r="B110" s="53"/>
      <c r="C110" s="1" t="s">
        <v>14</v>
      </c>
      <c r="D110" s="1" t="s">
        <v>14</v>
      </c>
    </row>
    <row r="111" spans="1:6" x14ac:dyDescent="0.25">
      <c r="A111" s="1" t="s">
        <v>95</v>
      </c>
      <c r="B111" s="37">
        <v>15000</v>
      </c>
      <c r="C111" s="11">
        <v>6356.57</v>
      </c>
      <c r="D111" s="11">
        <v>14446.73</v>
      </c>
      <c r="E111" s="2" t="s">
        <v>200</v>
      </c>
    </row>
    <row r="112" spans="1:6" x14ac:dyDescent="0.25">
      <c r="A112" s="1" t="s">
        <v>96</v>
      </c>
      <c r="B112" s="37"/>
      <c r="C112" s="12">
        <v>323.86</v>
      </c>
      <c r="D112" s="12">
        <v>0</v>
      </c>
    </row>
    <row r="113" spans="1:5" x14ac:dyDescent="0.25">
      <c r="A113" s="1" t="s">
        <v>97</v>
      </c>
      <c r="B113" s="37">
        <v>142000</v>
      </c>
      <c r="C113" s="12">
        <v>139175.29</v>
      </c>
      <c r="D113" s="12">
        <v>141000</v>
      </c>
      <c r="E113" t="s">
        <v>231</v>
      </c>
    </row>
    <row r="114" spans="1:5" x14ac:dyDescent="0.25">
      <c r="A114" s="1" t="s">
        <v>98</v>
      </c>
      <c r="B114" s="37">
        <v>15000</v>
      </c>
      <c r="C114" s="12">
        <v>6808.12</v>
      </c>
      <c r="D114" s="12">
        <v>14522.23</v>
      </c>
    </row>
    <row r="115" spans="1:5" x14ac:dyDescent="0.25">
      <c r="A115" s="1" t="s">
        <v>99</v>
      </c>
      <c r="B115" s="37">
        <v>3000</v>
      </c>
      <c r="C115" s="12">
        <v>12089.45</v>
      </c>
      <c r="D115" s="12">
        <v>1981.33</v>
      </c>
      <c r="E115" s="2" t="s">
        <v>198</v>
      </c>
    </row>
    <row r="116" spans="1:5" x14ac:dyDescent="0.25">
      <c r="A116" s="1" t="s">
        <v>100</v>
      </c>
      <c r="B116" s="37">
        <v>4000</v>
      </c>
      <c r="C116" s="12">
        <v>3666.72</v>
      </c>
      <c r="D116" s="12">
        <v>0</v>
      </c>
      <c r="E116" s="2" t="s">
        <v>199</v>
      </c>
    </row>
    <row r="117" spans="1:5" x14ac:dyDescent="0.25">
      <c r="A117" s="1" t="s">
        <v>101</v>
      </c>
      <c r="B117" s="37">
        <v>6000</v>
      </c>
      <c r="C117" s="12">
        <v>1510.18</v>
      </c>
      <c r="D117" s="12">
        <v>5529.36</v>
      </c>
    </row>
    <row r="118" spans="1:5" x14ac:dyDescent="0.25">
      <c r="A118" s="1" t="s">
        <v>102</v>
      </c>
      <c r="B118" s="37">
        <v>3000</v>
      </c>
      <c r="C118" s="12">
        <v>1083.69</v>
      </c>
      <c r="D118" s="12">
        <v>0</v>
      </c>
    </row>
    <row r="119" spans="1:5" x14ac:dyDescent="0.25">
      <c r="A119" s="1" t="s">
        <v>103</v>
      </c>
      <c r="B119" s="37">
        <f>(C119/8)*12</f>
        <v>50435.865000000005</v>
      </c>
      <c r="C119" s="12">
        <f>88133.91-8010-46500</f>
        <v>33623.910000000003</v>
      </c>
      <c r="D119" s="12">
        <v>134832.51999999999</v>
      </c>
      <c r="E119" s="2" t="s">
        <v>523</v>
      </c>
    </row>
    <row r="120" spans="1:5" x14ac:dyDescent="0.25">
      <c r="A120" s="1" t="s">
        <v>104</v>
      </c>
      <c r="B120" s="37">
        <v>8000</v>
      </c>
      <c r="C120" s="12">
        <f>6861.35+8010</f>
        <v>14871.35</v>
      </c>
      <c r="D120" s="12">
        <v>8080.33</v>
      </c>
      <c r="E120" s="2" t="s">
        <v>254</v>
      </c>
    </row>
    <row r="121" spans="1:5" x14ac:dyDescent="0.25">
      <c r="A121" s="10" t="s">
        <v>105</v>
      </c>
      <c r="B121" s="54">
        <f>SUM(B111:B120)</f>
        <v>246435.86499999999</v>
      </c>
      <c r="C121" s="13">
        <f>SUM(C111:C120)</f>
        <v>219509.14</v>
      </c>
      <c r="D121" s="13">
        <f>SUM(D111:D120)</f>
        <v>320392.5</v>
      </c>
    </row>
    <row r="122" spans="1:5" x14ac:dyDescent="0.25">
      <c r="A122" s="83" t="s">
        <v>5</v>
      </c>
      <c r="B122" s="83"/>
      <c r="C122" s="83"/>
      <c r="D122" s="83"/>
    </row>
    <row r="123" spans="1:5" x14ac:dyDescent="0.25">
      <c r="A123" s="10" t="s">
        <v>106</v>
      </c>
      <c r="B123" s="53"/>
      <c r="C123" s="1" t="s">
        <v>14</v>
      </c>
      <c r="D123" s="1" t="s">
        <v>14</v>
      </c>
    </row>
    <row r="124" spans="1:5" x14ac:dyDescent="0.25">
      <c r="A124" s="1" t="s">
        <v>107</v>
      </c>
      <c r="B124" s="56">
        <v>25000</v>
      </c>
      <c r="C124" s="11">
        <v>136043.17000000001</v>
      </c>
      <c r="D124" s="11">
        <v>500000</v>
      </c>
      <c r="E124" t="s">
        <v>197</v>
      </c>
    </row>
    <row r="125" spans="1:5" x14ac:dyDescent="0.25">
      <c r="A125" s="10" t="s">
        <v>108</v>
      </c>
      <c r="B125" s="54">
        <f>SUM(B124)</f>
        <v>25000</v>
      </c>
      <c r="C125" s="13">
        <f>SUM(C124)</f>
        <v>136043.17000000001</v>
      </c>
      <c r="D125" s="13">
        <f>SUM(D124)</f>
        <v>500000</v>
      </c>
    </row>
    <row r="126" spans="1:5" x14ac:dyDescent="0.25">
      <c r="A126" s="83" t="s">
        <v>5</v>
      </c>
      <c r="B126" s="83"/>
      <c r="C126" s="83"/>
      <c r="D126" s="83"/>
    </row>
    <row r="127" spans="1:5" hidden="1" x14ac:dyDescent="0.25">
      <c r="A127" s="10" t="s">
        <v>109</v>
      </c>
      <c r="B127" s="53"/>
      <c r="C127" s="1" t="s">
        <v>14</v>
      </c>
      <c r="D127" s="1" t="s">
        <v>14</v>
      </c>
    </row>
    <row r="128" spans="1:5" hidden="1" x14ac:dyDescent="0.25">
      <c r="A128" s="1" t="s">
        <v>110</v>
      </c>
      <c r="B128" s="37"/>
      <c r="C128" s="11">
        <v>64512.56</v>
      </c>
      <c r="D128" s="11">
        <v>0</v>
      </c>
    </row>
    <row r="129" spans="1:4" hidden="1" x14ac:dyDescent="0.25">
      <c r="A129" s="1" t="s">
        <v>111</v>
      </c>
      <c r="B129" s="37"/>
      <c r="C129" s="12">
        <v>0</v>
      </c>
      <c r="D129" s="12">
        <v>0</v>
      </c>
    </row>
    <row r="130" spans="1:4" hidden="1" x14ac:dyDescent="0.25">
      <c r="A130" s="10" t="s">
        <v>112</v>
      </c>
      <c r="B130" s="53"/>
      <c r="C130" s="13">
        <v>64512.56</v>
      </c>
      <c r="D130" s="13">
        <v>0</v>
      </c>
    </row>
    <row r="131" spans="1:4" x14ac:dyDescent="0.25">
      <c r="A131" s="10" t="s">
        <v>113</v>
      </c>
      <c r="B131" s="55">
        <f>B64+B76+B91+B99+B104+B108+B121+B125</f>
        <v>4475790.1037500007</v>
      </c>
      <c r="C131" s="15">
        <f>C64+C76+C91+C99+C104+C108+C121+C125</f>
        <v>3041942.0315000005</v>
      </c>
      <c r="D131" s="15">
        <f>D64+D76+D91+D99+D104+D108+D121+D125</f>
        <v>4145625.87</v>
      </c>
    </row>
    <row r="132" spans="1:4" x14ac:dyDescent="0.25">
      <c r="A132" s="83" t="s">
        <v>5</v>
      </c>
      <c r="B132" s="83"/>
      <c r="C132" s="83"/>
      <c r="D132" s="83"/>
    </row>
    <row r="133" spans="1:4" ht="13.8" thickBot="1" x14ac:dyDescent="0.3">
      <c r="A133" s="10" t="s">
        <v>114</v>
      </c>
      <c r="B133" s="58">
        <f>B36-B131</f>
        <v>210900.16605524998</v>
      </c>
      <c r="C133" s="16">
        <f>C36-C131</f>
        <v>-152209.19150000112</v>
      </c>
      <c r="D133" s="16">
        <f>D36-D131</f>
        <v>177444.29000000004</v>
      </c>
    </row>
    <row r="134" spans="1:4" ht="13.8" thickTop="1" x14ac:dyDescent="0.25">
      <c r="A134" s="3" t="s">
        <v>5</v>
      </c>
      <c r="B134" s="49"/>
    </row>
    <row r="135" spans="1:4" x14ac:dyDescent="0.25">
      <c r="A135" s="3" t="s">
        <v>5</v>
      </c>
      <c r="B135" s="49"/>
    </row>
    <row r="136" spans="1:4" x14ac:dyDescent="0.25">
      <c r="A136" s="1"/>
      <c r="B136" s="37"/>
    </row>
  </sheetData>
  <mergeCells count="14">
    <mergeCell ref="A109:D109"/>
    <mergeCell ref="A122:D122"/>
    <mergeCell ref="A126:D126"/>
    <mergeCell ref="A132:D132"/>
    <mergeCell ref="A65:D65"/>
    <mergeCell ref="A77:D77"/>
    <mergeCell ref="A92:D92"/>
    <mergeCell ref="A100:D100"/>
    <mergeCell ref="A105:D105"/>
    <mergeCell ref="A18:D18"/>
    <mergeCell ref="A24:D24"/>
    <mergeCell ref="A29:D29"/>
    <mergeCell ref="A37:D37"/>
    <mergeCell ref="A38:D38"/>
  </mergeCells>
  <pageMargins left="0.75" right="0.75" top="1" bottom="1" header="0.5" footer="0.5"/>
  <pageSetup orientation="portrait" horizontalDpi="300" verticalDpi="300"/>
  <ignoredErrors>
    <ignoredError sqref="E1:IT10 C75:D75 C138:IT65544 E52:IT55 F49:IT51 E57:IT61 F56:IT56 E44:IT48 G62:IT62 C1:D16 A1:A62 E64:IT66 C65:D66 A64:A67 E75:IT78 F74:IT74 A83:A135 F88:IT88 F84:IT85 G83:IT83 F86:M86 O86:IT86 E91:IT93 G89:IT89 F90:IT90 F87:IT87 E99:IT101 G98:IT98 F94:IT96 E103:IT106 F102:IT102 E108:IT110 F107:IT107 E125:IT137 F124:IT124 E117:IT118 F115:IT116 E112:IT112 F111:IT111 F42:IT43 E114:IT114 F113:IT113 E28:IT30 C29:D31 D27 C18:D22 C24:D26 C33:D34 C37:D62 C77:D78 C92:D93 C100:D103 C105:D107 C109:D118 C122:D124 C126:D130 C132:D132 C134:D137 A137:A65544 F26:IT27 E32:IT33 F31:IT31 D67 C72:IT72 D74 F79:IT79 D98 C95:D95 D94 C97:IT97 D96 D119:D120 E121:IT123 C83:D87 D79 F119:IT120 E35:IT41 F34:IT34 F67:IT67 C71:D71 F71:IT71 A74:A78 C89:D90 D88 E17:IT25 F11:IT11 F12:IT12 F13:IT13 F14:IT14 F15:IT15 F16:IT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CCFC5-1376-455B-B84B-C77C7D90FF99}">
  <dimension ref="A1:K169"/>
  <sheetViews>
    <sheetView topLeftCell="A2" workbookViewId="0">
      <selection activeCell="K89" sqref="D89:K98"/>
    </sheetView>
  </sheetViews>
  <sheetFormatPr defaultRowHeight="13.8" outlineLevelRow="2" x14ac:dyDescent="0.3"/>
  <cols>
    <col min="1" max="1" width="19.33203125" style="66" bestFit="1" customWidth="1"/>
    <col min="2" max="2" width="26.109375" style="66" bestFit="1" customWidth="1"/>
    <col min="3" max="3" width="19.33203125" style="66" bestFit="1" customWidth="1"/>
    <col min="4" max="4" width="52.77734375" style="66" bestFit="1" customWidth="1"/>
    <col min="5" max="5" width="7.44140625" style="66" bestFit="1" customWidth="1"/>
    <col min="6" max="6" width="11.21875" style="66" bestFit="1" customWidth="1"/>
    <col min="7" max="7" width="6.6640625" style="66" bestFit="1" customWidth="1"/>
    <col min="8" max="8" width="12.6640625" style="66" bestFit="1" customWidth="1"/>
    <col min="9" max="9" width="11.33203125" style="66" bestFit="1" customWidth="1"/>
    <col min="10" max="10" width="12.6640625" style="66" bestFit="1" customWidth="1"/>
    <col min="11" max="16384" width="8.88671875" style="66"/>
  </cols>
  <sheetData>
    <row r="1" spans="1:11" x14ac:dyDescent="0.3">
      <c r="A1" s="64" t="s">
        <v>262</v>
      </c>
      <c r="B1" s="65" t="s">
        <v>0</v>
      </c>
    </row>
    <row r="2" spans="1:11" x14ac:dyDescent="0.3">
      <c r="A2" s="64" t="s">
        <v>263</v>
      </c>
      <c r="B2" s="65" t="s">
        <v>264</v>
      </c>
      <c r="C2" s="67"/>
      <c r="D2" s="67"/>
      <c r="E2" s="67"/>
    </row>
    <row r="3" spans="1:11" x14ac:dyDescent="0.3">
      <c r="A3" s="64" t="s">
        <v>265</v>
      </c>
      <c r="B3" s="68">
        <v>45108</v>
      </c>
    </row>
    <row r="4" spans="1:11" x14ac:dyDescent="0.3">
      <c r="A4" s="64" t="s">
        <v>266</v>
      </c>
      <c r="B4" s="68">
        <v>45351</v>
      </c>
    </row>
    <row r="5" spans="1:11" x14ac:dyDescent="0.3">
      <c r="A5" s="69" t="s">
        <v>267</v>
      </c>
      <c r="B5" s="69" t="s">
        <v>268</v>
      </c>
      <c r="C5" s="69" t="s">
        <v>269</v>
      </c>
      <c r="D5" s="69" t="s">
        <v>270</v>
      </c>
      <c r="E5" s="69" t="s">
        <v>271</v>
      </c>
      <c r="F5" s="69" t="s">
        <v>272</v>
      </c>
      <c r="G5" s="69" t="s">
        <v>273</v>
      </c>
      <c r="H5" s="70" t="s">
        <v>274</v>
      </c>
      <c r="I5" s="70" t="s">
        <v>275</v>
      </c>
      <c r="J5" s="70" t="s">
        <v>276</v>
      </c>
      <c r="K5" s="66" t="s">
        <v>277</v>
      </c>
    </row>
    <row r="6" spans="1:11" ht="25.2" hidden="1" outlineLevel="2" x14ac:dyDescent="0.3">
      <c r="A6" s="71">
        <v>45351</v>
      </c>
      <c r="B6" s="71">
        <v>45351</v>
      </c>
      <c r="C6" s="72" t="s">
        <v>278</v>
      </c>
      <c r="D6" s="73" t="s">
        <v>279</v>
      </c>
      <c r="E6" s="72" t="s">
        <v>280</v>
      </c>
      <c r="F6" s="72" t="s">
        <v>281</v>
      </c>
      <c r="G6" s="72" t="s">
        <v>282</v>
      </c>
      <c r="H6" s="74">
        <v>813.36</v>
      </c>
      <c r="I6" s="74"/>
      <c r="J6" s="74">
        <v>55436.53</v>
      </c>
      <c r="K6" s="66">
        <v>610.1</v>
      </c>
    </row>
    <row r="7" spans="1:11" hidden="1" outlineLevel="2" x14ac:dyDescent="0.3">
      <c r="A7" s="71">
        <v>45324</v>
      </c>
      <c r="B7" s="71">
        <v>45324</v>
      </c>
      <c r="C7" s="72" t="s">
        <v>283</v>
      </c>
      <c r="D7" s="73" t="s">
        <v>284</v>
      </c>
      <c r="E7" s="72" t="s">
        <v>280</v>
      </c>
      <c r="F7" s="72" t="s">
        <v>285</v>
      </c>
      <c r="G7" s="72" t="s">
        <v>282</v>
      </c>
      <c r="H7" s="74">
        <v>66.39</v>
      </c>
      <c r="I7" s="74"/>
      <c r="J7" s="74">
        <v>53438.41</v>
      </c>
      <c r="K7" s="66">
        <v>610.1</v>
      </c>
    </row>
    <row r="8" spans="1:11" hidden="1" outlineLevel="2" x14ac:dyDescent="0.3">
      <c r="A8" s="71">
        <v>45322</v>
      </c>
      <c r="B8" s="71">
        <v>45322</v>
      </c>
      <c r="C8" s="72" t="s">
        <v>286</v>
      </c>
      <c r="D8" s="73" t="s">
        <v>287</v>
      </c>
      <c r="E8" s="72" t="s">
        <v>280</v>
      </c>
      <c r="F8" s="72" t="s">
        <v>288</v>
      </c>
      <c r="G8" s="72" t="s">
        <v>282</v>
      </c>
      <c r="H8" s="74">
        <v>75.150000000000006</v>
      </c>
      <c r="I8" s="74"/>
      <c r="J8" s="74">
        <v>53372.02</v>
      </c>
      <c r="K8" s="66">
        <v>610.1</v>
      </c>
    </row>
    <row r="9" spans="1:11" hidden="1" outlineLevel="2" x14ac:dyDescent="0.3">
      <c r="A9" s="71">
        <v>45317</v>
      </c>
      <c r="B9" s="71">
        <v>45317</v>
      </c>
      <c r="C9" s="72" t="s">
        <v>289</v>
      </c>
      <c r="D9" s="73" t="s">
        <v>290</v>
      </c>
      <c r="E9" s="72" t="s">
        <v>280</v>
      </c>
      <c r="F9" s="72" t="s">
        <v>288</v>
      </c>
      <c r="G9" s="72" t="s">
        <v>282</v>
      </c>
      <c r="H9" s="74">
        <v>73.72</v>
      </c>
      <c r="I9" s="74"/>
      <c r="J9" s="74">
        <v>52935.99</v>
      </c>
      <c r="K9" s="66">
        <v>610.1</v>
      </c>
    </row>
    <row r="10" spans="1:11" hidden="1" outlineLevel="2" x14ac:dyDescent="0.3">
      <c r="A10" s="71">
        <v>45331</v>
      </c>
      <c r="B10" s="71">
        <v>45331</v>
      </c>
      <c r="C10" s="72" t="s">
        <v>291</v>
      </c>
      <c r="D10" s="73" t="s">
        <v>290</v>
      </c>
      <c r="E10" s="72" t="s">
        <v>280</v>
      </c>
      <c r="F10" s="72" t="s">
        <v>288</v>
      </c>
      <c r="G10" s="72" t="s">
        <v>282</v>
      </c>
      <c r="H10" s="74">
        <v>15.7</v>
      </c>
      <c r="I10" s="74"/>
      <c r="J10" s="74">
        <v>53571.59</v>
      </c>
      <c r="K10" s="66">
        <v>610.1</v>
      </c>
    </row>
    <row r="11" spans="1:11" hidden="1" outlineLevel="2" x14ac:dyDescent="0.3">
      <c r="A11" s="71">
        <v>45336</v>
      </c>
      <c r="B11" s="71">
        <v>45336</v>
      </c>
      <c r="C11" s="72" t="s">
        <v>292</v>
      </c>
      <c r="D11" s="73" t="s">
        <v>290</v>
      </c>
      <c r="E11" s="72" t="s">
        <v>280</v>
      </c>
      <c r="F11" s="72" t="s">
        <v>288</v>
      </c>
      <c r="G11" s="72" t="s">
        <v>282</v>
      </c>
      <c r="H11" s="74">
        <v>133.02000000000001</v>
      </c>
      <c r="I11" s="74"/>
      <c r="J11" s="74">
        <v>54150.18</v>
      </c>
      <c r="K11" s="66">
        <v>610.1</v>
      </c>
    </row>
    <row r="12" spans="1:11" hidden="1" outlineLevel="2" x14ac:dyDescent="0.3">
      <c r="A12" s="71">
        <v>45351</v>
      </c>
      <c r="B12" s="71">
        <v>45351</v>
      </c>
      <c r="C12" s="72" t="s">
        <v>278</v>
      </c>
      <c r="D12" s="73" t="s">
        <v>290</v>
      </c>
      <c r="E12" s="72" t="s">
        <v>280</v>
      </c>
      <c r="F12" s="72" t="s">
        <v>288</v>
      </c>
      <c r="G12" s="72" t="s">
        <v>282</v>
      </c>
      <c r="H12" s="74">
        <v>55.65</v>
      </c>
      <c r="I12" s="74"/>
      <c r="J12" s="74">
        <v>54623.17</v>
      </c>
      <c r="K12" s="66">
        <v>610.1</v>
      </c>
    </row>
    <row r="13" spans="1:11" ht="25.2" hidden="1" outlineLevel="2" x14ac:dyDescent="0.3">
      <c r="A13" s="71">
        <v>45159</v>
      </c>
      <c r="B13" s="71">
        <v>45159</v>
      </c>
      <c r="C13" s="72" t="s">
        <v>293</v>
      </c>
      <c r="D13" s="73" t="s">
        <v>294</v>
      </c>
      <c r="E13" s="72" t="s">
        <v>295</v>
      </c>
      <c r="F13" s="72" t="s">
        <v>281</v>
      </c>
      <c r="G13" s="72" t="s">
        <v>282</v>
      </c>
      <c r="H13" s="74">
        <v>416.17</v>
      </c>
      <c r="I13" s="74"/>
      <c r="J13" s="74">
        <v>28117.3</v>
      </c>
      <c r="K13" s="66">
        <v>610.1</v>
      </c>
    </row>
    <row r="14" spans="1:11" ht="25.2" hidden="1" outlineLevel="2" x14ac:dyDescent="0.3">
      <c r="A14" s="71">
        <v>45194</v>
      </c>
      <c r="B14" s="71">
        <v>45194</v>
      </c>
      <c r="C14" s="72" t="s">
        <v>296</v>
      </c>
      <c r="D14" s="73" t="s">
        <v>297</v>
      </c>
      <c r="E14" s="72" t="s">
        <v>280</v>
      </c>
      <c r="F14" s="72" t="s">
        <v>298</v>
      </c>
      <c r="G14" s="72" t="s">
        <v>282</v>
      </c>
      <c r="H14" s="74">
        <v>449.5</v>
      </c>
      <c r="I14" s="74"/>
      <c r="J14" s="74">
        <v>38146.639999999999</v>
      </c>
      <c r="K14" s="66">
        <v>610.1</v>
      </c>
    </row>
    <row r="15" spans="1:11" ht="37.799999999999997" hidden="1" outlineLevel="2" x14ac:dyDescent="0.3">
      <c r="A15" s="71">
        <v>45197</v>
      </c>
      <c r="B15" s="71">
        <v>45197</v>
      </c>
      <c r="C15" s="72" t="s">
        <v>299</v>
      </c>
      <c r="D15" s="73" t="s">
        <v>300</v>
      </c>
      <c r="E15" s="72" t="s">
        <v>280</v>
      </c>
      <c r="F15" s="72" t="s">
        <v>298</v>
      </c>
      <c r="G15" s="72" t="s">
        <v>282</v>
      </c>
      <c r="H15" s="74">
        <v>1027.3699999999999</v>
      </c>
      <c r="I15" s="74"/>
      <c r="J15" s="74">
        <v>39484.89</v>
      </c>
      <c r="K15" s="66">
        <v>610.1</v>
      </c>
    </row>
    <row r="16" spans="1:11" ht="25.2" hidden="1" outlineLevel="2" x14ac:dyDescent="0.3">
      <c r="A16" s="71">
        <v>45135</v>
      </c>
      <c r="B16" s="71">
        <v>45135</v>
      </c>
      <c r="C16" s="72" t="s">
        <v>301</v>
      </c>
      <c r="D16" s="73" t="s">
        <v>302</v>
      </c>
      <c r="E16" s="72" t="s">
        <v>280</v>
      </c>
      <c r="F16" s="72" t="s">
        <v>281</v>
      </c>
      <c r="G16" s="72" t="s">
        <v>282</v>
      </c>
      <c r="H16" s="74">
        <v>95.96</v>
      </c>
      <c r="I16" s="74"/>
      <c r="J16" s="74">
        <v>8436.6</v>
      </c>
      <c r="K16" s="66">
        <v>610.1</v>
      </c>
    </row>
    <row r="17" spans="1:11" hidden="1" outlineLevel="2" x14ac:dyDescent="0.3">
      <c r="A17" s="71">
        <v>45238</v>
      </c>
      <c r="B17" s="71">
        <v>45238</v>
      </c>
      <c r="C17" s="72" t="s">
        <v>303</v>
      </c>
      <c r="D17" s="73" t="s">
        <v>304</v>
      </c>
      <c r="E17" s="72" t="s">
        <v>280</v>
      </c>
      <c r="F17" s="72" t="s">
        <v>298</v>
      </c>
      <c r="G17" s="72" t="s">
        <v>282</v>
      </c>
      <c r="H17" s="74">
        <v>13.95</v>
      </c>
      <c r="I17" s="74"/>
      <c r="J17" s="74">
        <v>42570.95</v>
      </c>
      <c r="K17" s="66">
        <v>610.1</v>
      </c>
    </row>
    <row r="18" spans="1:11" ht="37.799999999999997" hidden="1" outlineLevel="2" x14ac:dyDescent="0.3">
      <c r="A18" s="71">
        <v>45239</v>
      </c>
      <c r="B18" s="71">
        <v>45239</v>
      </c>
      <c r="C18" s="72" t="s">
        <v>305</v>
      </c>
      <c r="D18" s="73" t="s">
        <v>306</v>
      </c>
      <c r="E18" s="72" t="s">
        <v>280</v>
      </c>
      <c r="F18" s="72" t="s">
        <v>298</v>
      </c>
      <c r="G18" s="72" t="s">
        <v>282</v>
      </c>
      <c r="H18" s="74">
        <v>96.55</v>
      </c>
      <c r="I18" s="74"/>
      <c r="J18" s="74">
        <v>42874.81</v>
      </c>
      <c r="K18" s="66">
        <v>610.1</v>
      </c>
    </row>
    <row r="19" spans="1:11" hidden="1" outlineLevel="2" x14ac:dyDescent="0.3">
      <c r="A19" s="71">
        <v>45133</v>
      </c>
      <c r="B19" s="71">
        <v>45133</v>
      </c>
      <c r="C19" s="72" t="s">
        <v>307</v>
      </c>
      <c r="D19" s="73" t="s">
        <v>308</v>
      </c>
      <c r="E19" s="72" t="s">
        <v>280</v>
      </c>
      <c r="F19" s="72" t="s">
        <v>281</v>
      </c>
      <c r="G19" s="72" t="s">
        <v>282</v>
      </c>
      <c r="H19" s="74">
        <v>11.99</v>
      </c>
      <c r="I19" s="74"/>
      <c r="J19" s="74">
        <v>5949.45</v>
      </c>
      <c r="K19" s="66">
        <v>610.1</v>
      </c>
    </row>
    <row r="20" spans="1:11" hidden="1" outlineLevel="2" x14ac:dyDescent="0.3">
      <c r="A20" s="71">
        <v>45134</v>
      </c>
      <c r="B20" s="71">
        <v>45134</v>
      </c>
      <c r="C20" s="72" t="s">
        <v>309</v>
      </c>
      <c r="D20" s="73" t="s">
        <v>308</v>
      </c>
      <c r="E20" s="72" t="s">
        <v>280</v>
      </c>
      <c r="F20" s="72" t="s">
        <v>281</v>
      </c>
      <c r="G20" s="72" t="s">
        <v>282</v>
      </c>
      <c r="H20" s="74">
        <v>122.54</v>
      </c>
      <c r="I20" s="74"/>
      <c r="J20" s="74">
        <v>6375.2</v>
      </c>
      <c r="K20" s="66">
        <v>610.1</v>
      </c>
    </row>
    <row r="21" spans="1:11" hidden="1" outlineLevel="2" x14ac:dyDescent="0.3">
      <c r="A21" s="71">
        <v>45155</v>
      </c>
      <c r="B21" s="71">
        <v>45155</v>
      </c>
      <c r="C21" s="72" t="s">
        <v>310</v>
      </c>
      <c r="D21" s="73" t="s">
        <v>311</v>
      </c>
      <c r="E21" s="72" t="s">
        <v>280</v>
      </c>
      <c r="F21" s="72" t="s">
        <v>298</v>
      </c>
      <c r="G21" s="72" t="s">
        <v>282</v>
      </c>
      <c r="H21" s="74">
        <v>212.8</v>
      </c>
      <c r="I21" s="74"/>
      <c r="J21" s="74">
        <v>26185.86</v>
      </c>
      <c r="K21" s="66">
        <v>610.1</v>
      </c>
    </row>
    <row r="22" spans="1:11" ht="25.2" hidden="1" outlineLevel="2" x14ac:dyDescent="0.3">
      <c r="A22" s="71">
        <v>45158</v>
      </c>
      <c r="B22" s="71">
        <v>45158</v>
      </c>
      <c r="C22" s="72" t="s">
        <v>312</v>
      </c>
      <c r="D22" s="73" t="s">
        <v>313</v>
      </c>
      <c r="E22" s="72" t="s">
        <v>280</v>
      </c>
      <c r="F22" s="72" t="s">
        <v>298</v>
      </c>
      <c r="G22" s="72" t="s">
        <v>282</v>
      </c>
      <c r="H22" s="74">
        <v>265.95999999999998</v>
      </c>
      <c r="I22" s="74"/>
      <c r="J22" s="74">
        <v>27701.13</v>
      </c>
      <c r="K22" s="66">
        <v>610.1</v>
      </c>
    </row>
    <row r="23" spans="1:11" ht="25.2" hidden="1" outlineLevel="2" x14ac:dyDescent="0.3">
      <c r="A23" s="71">
        <v>45137</v>
      </c>
      <c r="B23" s="71">
        <v>45137</v>
      </c>
      <c r="C23" s="72" t="s">
        <v>314</v>
      </c>
      <c r="D23" s="73" t="s">
        <v>315</v>
      </c>
      <c r="E23" s="72" t="s">
        <v>280</v>
      </c>
      <c r="F23" s="72" t="s">
        <v>281</v>
      </c>
      <c r="G23" s="72" t="s">
        <v>282</v>
      </c>
      <c r="H23" s="74">
        <v>2502.6999999999998</v>
      </c>
      <c r="I23" s="74"/>
      <c r="J23" s="74">
        <v>12176.12</v>
      </c>
      <c r="K23" s="66">
        <v>610.1</v>
      </c>
    </row>
    <row r="24" spans="1:11" hidden="1" outlineLevel="2" x14ac:dyDescent="0.3">
      <c r="A24" s="71">
        <v>45126</v>
      </c>
      <c r="B24" s="71">
        <v>45126</v>
      </c>
      <c r="C24" s="72" t="s">
        <v>316</v>
      </c>
      <c r="D24" s="73" t="s">
        <v>317</v>
      </c>
      <c r="E24" s="72" t="s">
        <v>280</v>
      </c>
      <c r="F24" s="72" t="s">
        <v>281</v>
      </c>
      <c r="G24" s="72" t="s">
        <v>282</v>
      </c>
      <c r="H24" s="74">
        <v>11.99</v>
      </c>
      <c r="I24" s="74"/>
      <c r="J24" s="74">
        <v>335.41</v>
      </c>
      <c r="K24" s="66">
        <v>610.1</v>
      </c>
    </row>
    <row r="25" spans="1:11" hidden="1" outlineLevel="2" x14ac:dyDescent="0.3">
      <c r="A25" s="71">
        <v>45127</v>
      </c>
      <c r="B25" s="71">
        <v>45127</v>
      </c>
      <c r="C25" s="72" t="s">
        <v>318</v>
      </c>
      <c r="D25" s="73" t="s">
        <v>317</v>
      </c>
      <c r="E25" s="72" t="s">
        <v>280</v>
      </c>
      <c r="F25" s="72" t="s">
        <v>281</v>
      </c>
      <c r="G25" s="72" t="s">
        <v>282</v>
      </c>
      <c r="H25" s="74">
        <v>8.9700000000000006</v>
      </c>
      <c r="I25" s="74"/>
      <c r="J25" s="74">
        <v>344.38</v>
      </c>
      <c r="K25" s="66">
        <v>610.1</v>
      </c>
    </row>
    <row r="26" spans="1:11" hidden="1" outlineLevel="2" x14ac:dyDescent="0.3">
      <c r="A26" s="71">
        <v>45127</v>
      </c>
      <c r="B26" s="71">
        <v>45127</v>
      </c>
      <c r="C26" s="72" t="s">
        <v>319</v>
      </c>
      <c r="D26" s="73" t="s">
        <v>317</v>
      </c>
      <c r="E26" s="72" t="s">
        <v>280</v>
      </c>
      <c r="F26" s="72" t="s">
        <v>281</v>
      </c>
      <c r="G26" s="72" t="s">
        <v>282</v>
      </c>
      <c r="H26" s="74">
        <v>133.07</v>
      </c>
      <c r="I26" s="74"/>
      <c r="J26" s="74">
        <v>477.45</v>
      </c>
      <c r="K26" s="66">
        <v>610.1</v>
      </c>
    </row>
    <row r="27" spans="1:11" hidden="1" outlineLevel="2" x14ac:dyDescent="0.3">
      <c r="A27" s="71">
        <v>45132</v>
      </c>
      <c r="B27" s="71">
        <v>45132</v>
      </c>
      <c r="C27" s="72" t="s">
        <v>320</v>
      </c>
      <c r="D27" s="73" t="s">
        <v>317</v>
      </c>
      <c r="E27" s="72" t="s">
        <v>280</v>
      </c>
      <c r="F27" s="72" t="s">
        <v>281</v>
      </c>
      <c r="G27" s="72" t="s">
        <v>282</v>
      </c>
      <c r="H27" s="74">
        <v>149.97</v>
      </c>
      <c r="I27" s="74"/>
      <c r="J27" s="74">
        <v>5697.9</v>
      </c>
      <c r="K27" s="66">
        <v>610.1</v>
      </c>
    </row>
    <row r="28" spans="1:11" hidden="1" outlineLevel="2" x14ac:dyDescent="0.3">
      <c r="A28" s="71">
        <v>45145</v>
      </c>
      <c r="B28" s="71">
        <v>45145</v>
      </c>
      <c r="C28" s="72" t="s">
        <v>321</v>
      </c>
      <c r="D28" s="73" t="s">
        <v>317</v>
      </c>
      <c r="E28" s="72" t="s">
        <v>280</v>
      </c>
      <c r="F28" s="72" t="s">
        <v>322</v>
      </c>
      <c r="G28" s="72" t="s">
        <v>282</v>
      </c>
      <c r="H28" s="74">
        <v>7.99</v>
      </c>
      <c r="I28" s="74"/>
      <c r="J28" s="74">
        <v>24182.46</v>
      </c>
      <c r="K28" s="66">
        <v>610.1</v>
      </c>
    </row>
    <row r="29" spans="1:11" hidden="1" outlineLevel="2" x14ac:dyDescent="0.3">
      <c r="A29" s="71">
        <v>45146</v>
      </c>
      <c r="B29" s="71">
        <v>45146</v>
      </c>
      <c r="C29" s="72" t="s">
        <v>323</v>
      </c>
      <c r="D29" s="73" t="s">
        <v>317</v>
      </c>
      <c r="E29" s="72" t="s">
        <v>280</v>
      </c>
      <c r="F29" s="72" t="s">
        <v>322</v>
      </c>
      <c r="G29" s="72" t="s">
        <v>282</v>
      </c>
      <c r="H29" s="74">
        <v>59.87</v>
      </c>
      <c r="I29" s="74"/>
      <c r="J29" s="74">
        <v>24826.07</v>
      </c>
      <c r="K29" s="66">
        <v>610.1</v>
      </c>
    </row>
    <row r="30" spans="1:11" hidden="1" outlineLevel="2" x14ac:dyDescent="0.3">
      <c r="A30" s="71">
        <v>45146</v>
      </c>
      <c r="B30" s="71">
        <v>45146</v>
      </c>
      <c r="C30" s="72" t="s">
        <v>324</v>
      </c>
      <c r="D30" s="73" t="s">
        <v>317</v>
      </c>
      <c r="E30" s="72" t="s">
        <v>280</v>
      </c>
      <c r="F30" s="72" t="s">
        <v>322</v>
      </c>
      <c r="G30" s="72" t="s">
        <v>282</v>
      </c>
      <c r="H30" s="74">
        <v>52.99</v>
      </c>
      <c r="I30" s="74"/>
      <c r="J30" s="74">
        <v>24879.06</v>
      </c>
      <c r="K30" s="66">
        <v>610.1</v>
      </c>
    </row>
    <row r="31" spans="1:11" hidden="1" outlineLevel="2" x14ac:dyDescent="0.3">
      <c r="A31" s="71">
        <v>45134</v>
      </c>
      <c r="B31" s="71">
        <v>45134</v>
      </c>
      <c r="C31" s="72" t="s">
        <v>325</v>
      </c>
      <c r="D31" s="73" t="s">
        <v>326</v>
      </c>
      <c r="E31" s="72" t="s">
        <v>280</v>
      </c>
      <c r="F31" s="72" t="s">
        <v>281</v>
      </c>
      <c r="G31" s="72" t="s">
        <v>282</v>
      </c>
      <c r="H31" s="74">
        <v>395.96</v>
      </c>
      <c r="I31" s="74"/>
      <c r="J31" s="74">
        <v>6771.16</v>
      </c>
      <c r="K31" s="66">
        <v>610.1</v>
      </c>
    </row>
    <row r="32" spans="1:11" hidden="1" outlineLevel="2" x14ac:dyDescent="0.3">
      <c r="A32" s="71">
        <v>45134</v>
      </c>
      <c r="B32" s="71">
        <v>45134</v>
      </c>
      <c r="C32" s="72" t="s">
        <v>327</v>
      </c>
      <c r="D32" s="73" t="s">
        <v>326</v>
      </c>
      <c r="E32" s="72" t="s">
        <v>280</v>
      </c>
      <c r="F32" s="72" t="s">
        <v>281</v>
      </c>
      <c r="G32" s="72" t="s">
        <v>282</v>
      </c>
      <c r="H32" s="74">
        <v>1551.49</v>
      </c>
      <c r="I32" s="74"/>
      <c r="J32" s="74">
        <v>8322.65</v>
      </c>
      <c r="K32" s="66">
        <v>610.1</v>
      </c>
    </row>
    <row r="33" spans="1:11" hidden="1" outlineLevel="2" x14ac:dyDescent="0.3">
      <c r="A33" s="71">
        <v>45137</v>
      </c>
      <c r="B33" s="71">
        <v>45137</v>
      </c>
      <c r="C33" s="72" t="s">
        <v>328</v>
      </c>
      <c r="D33" s="73" t="s">
        <v>326</v>
      </c>
      <c r="E33" s="72" t="s">
        <v>280</v>
      </c>
      <c r="F33" s="72" t="s">
        <v>281</v>
      </c>
      <c r="G33" s="72" t="s">
        <v>282</v>
      </c>
      <c r="H33" s="74">
        <v>319.97000000000003</v>
      </c>
      <c r="I33" s="74"/>
      <c r="J33" s="74">
        <v>9673.42</v>
      </c>
      <c r="K33" s="66">
        <v>610.1</v>
      </c>
    </row>
    <row r="34" spans="1:11" ht="25.2" hidden="1" outlineLevel="2" x14ac:dyDescent="0.3">
      <c r="A34" s="71">
        <v>45152</v>
      </c>
      <c r="B34" s="71">
        <v>45152</v>
      </c>
      <c r="C34" s="72" t="s">
        <v>329</v>
      </c>
      <c r="D34" s="73" t="s">
        <v>330</v>
      </c>
      <c r="E34" s="72" t="s">
        <v>280</v>
      </c>
      <c r="F34" s="72" t="s">
        <v>288</v>
      </c>
      <c r="G34" s="72" t="s">
        <v>282</v>
      </c>
      <c r="H34" s="74">
        <v>51.74</v>
      </c>
      <c r="I34" s="74"/>
      <c r="J34" s="74">
        <v>25469.06</v>
      </c>
      <c r="K34" s="66">
        <v>610.1</v>
      </c>
    </row>
    <row r="35" spans="1:11" hidden="1" outlineLevel="2" x14ac:dyDescent="0.3">
      <c r="A35" s="71">
        <v>45151</v>
      </c>
      <c r="B35" s="71">
        <v>45151</v>
      </c>
      <c r="C35" s="72" t="s">
        <v>331</v>
      </c>
      <c r="D35" s="73" t="s">
        <v>332</v>
      </c>
      <c r="E35" s="72" t="s">
        <v>280</v>
      </c>
      <c r="F35" s="72" t="s">
        <v>298</v>
      </c>
      <c r="G35" s="72" t="s">
        <v>282</v>
      </c>
      <c r="H35" s="74">
        <v>11.95</v>
      </c>
      <c r="I35" s="74"/>
      <c r="J35" s="74">
        <v>24891.01</v>
      </c>
      <c r="K35" s="66">
        <v>610.1</v>
      </c>
    </row>
    <row r="36" spans="1:11" ht="25.2" hidden="1" outlineLevel="2" x14ac:dyDescent="0.3">
      <c r="A36" s="71">
        <v>45172</v>
      </c>
      <c r="B36" s="71">
        <v>45172</v>
      </c>
      <c r="C36" s="72" t="s">
        <v>333</v>
      </c>
      <c r="D36" s="73" t="s">
        <v>334</v>
      </c>
      <c r="E36" s="72" t="s">
        <v>280</v>
      </c>
      <c r="F36" s="72" t="s">
        <v>285</v>
      </c>
      <c r="G36" s="72" t="s">
        <v>282</v>
      </c>
      <c r="H36" s="74">
        <v>622.83000000000004</v>
      </c>
      <c r="I36" s="74"/>
      <c r="J36" s="74">
        <v>29571.26</v>
      </c>
      <c r="K36" s="66">
        <v>610.1</v>
      </c>
    </row>
    <row r="37" spans="1:11" ht="25.2" hidden="1" outlineLevel="2" x14ac:dyDescent="0.3">
      <c r="A37" s="71">
        <v>45180</v>
      </c>
      <c r="B37" s="71">
        <v>45180</v>
      </c>
      <c r="C37" s="72" t="s">
        <v>335</v>
      </c>
      <c r="D37" s="73" t="s">
        <v>336</v>
      </c>
      <c r="E37" s="72" t="s">
        <v>337</v>
      </c>
      <c r="F37" s="72" t="s">
        <v>298</v>
      </c>
      <c r="G37" s="72" t="s">
        <v>282</v>
      </c>
      <c r="H37" s="74">
        <v>3790</v>
      </c>
      <c r="I37" s="74"/>
      <c r="J37" s="74">
        <v>34682.28</v>
      </c>
      <c r="K37" s="66">
        <v>610.1</v>
      </c>
    </row>
    <row r="38" spans="1:11" ht="25.2" hidden="1" outlineLevel="2" x14ac:dyDescent="0.3">
      <c r="A38" s="71">
        <v>45183</v>
      </c>
      <c r="B38" s="71">
        <v>45183</v>
      </c>
      <c r="C38" s="72" t="s">
        <v>338</v>
      </c>
      <c r="D38" s="73" t="s">
        <v>279</v>
      </c>
      <c r="E38" s="72" t="s">
        <v>280</v>
      </c>
      <c r="F38" s="72" t="s">
        <v>281</v>
      </c>
      <c r="G38" s="72" t="s">
        <v>282</v>
      </c>
      <c r="H38" s="74">
        <v>54.85</v>
      </c>
      <c r="I38" s="74"/>
      <c r="J38" s="74">
        <v>34737.129999999997</v>
      </c>
      <c r="K38" s="66">
        <v>610.1</v>
      </c>
    </row>
    <row r="39" spans="1:11" ht="25.2" hidden="1" outlineLevel="2" x14ac:dyDescent="0.3">
      <c r="A39" s="71">
        <v>45188</v>
      </c>
      <c r="B39" s="71">
        <v>45188</v>
      </c>
      <c r="C39" s="72" t="s">
        <v>339</v>
      </c>
      <c r="D39" s="73" t="s">
        <v>279</v>
      </c>
      <c r="E39" s="72" t="s">
        <v>280</v>
      </c>
      <c r="F39" s="72" t="s">
        <v>281</v>
      </c>
      <c r="G39" s="72" t="s">
        <v>282</v>
      </c>
      <c r="H39" s="74">
        <v>17.95</v>
      </c>
      <c r="I39" s="74"/>
      <c r="J39" s="74">
        <v>36918.93</v>
      </c>
      <c r="K39" s="66">
        <v>610.1</v>
      </c>
    </row>
    <row r="40" spans="1:11" ht="25.2" hidden="1" outlineLevel="2" x14ac:dyDescent="0.3">
      <c r="A40" s="71">
        <v>45191</v>
      </c>
      <c r="B40" s="71">
        <v>45191</v>
      </c>
      <c r="C40" s="72" t="s">
        <v>340</v>
      </c>
      <c r="D40" s="73" t="s">
        <v>279</v>
      </c>
      <c r="E40" s="72" t="s">
        <v>280</v>
      </c>
      <c r="F40" s="72" t="s">
        <v>281</v>
      </c>
      <c r="G40" s="72" t="s">
        <v>282</v>
      </c>
      <c r="H40" s="74">
        <v>283.95</v>
      </c>
      <c r="I40" s="74"/>
      <c r="J40" s="74">
        <v>37202.879999999997</v>
      </c>
      <c r="K40" s="66">
        <v>610.1</v>
      </c>
    </row>
    <row r="41" spans="1:11" ht="25.2" hidden="1" outlineLevel="2" x14ac:dyDescent="0.3">
      <c r="A41" s="71">
        <v>45222</v>
      </c>
      <c r="B41" s="71">
        <v>45222</v>
      </c>
      <c r="C41" s="72" t="s">
        <v>341</v>
      </c>
      <c r="D41" s="73" t="s">
        <v>279</v>
      </c>
      <c r="E41" s="72" t="s">
        <v>280</v>
      </c>
      <c r="F41" s="72" t="s">
        <v>281</v>
      </c>
      <c r="G41" s="72" t="s">
        <v>282</v>
      </c>
      <c r="H41" s="74">
        <v>35.9</v>
      </c>
      <c r="I41" s="74"/>
      <c r="J41" s="74">
        <v>41847.129999999997</v>
      </c>
      <c r="K41" s="66">
        <v>610.1</v>
      </c>
    </row>
    <row r="42" spans="1:11" ht="25.2" hidden="1" outlineLevel="2" x14ac:dyDescent="0.3">
      <c r="A42" s="71">
        <v>45263</v>
      </c>
      <c r="B42" s="71">
        <v>45263</v>
      </c>
      <c r="C42" s="72" t="s">
        <v>342</v>
      </c>
      <c r="D42" s="73" t="s">
        <v>279</v>
      </c>
      <c r="E42" s="72" t="s">
        <v>280</v>
      </c>
      <c r="F42" s="72" t="s">
        <v>281</v>
      </c>
      <c r="G42" s="72" t="s">
        <v>282</v>
      </c>
      <c r="H42" s="74">
        <v>229.75</v>
      </c>
      <c r="I42" s="74"/>
      <c r="J42" s="74">
        <v>46086.89</v>
      </c>
      <c r="K42" s="66">
        <v>610.1</v>
      </c>
    </row>
    <row r="43" spans="1:11" ht="25.2" hidden="1" outlineLevel="2" x14ac:dyDescent="0.3">
      <c r="A43" s="71">
        <v>45263</v>
      </c>
      <c r="B43" s="71">
        <v>45263</v>
      </c>
      <c r="C43" s="72" t="s">
        <v>343</v>
      </c>
      <c r="D43" s="73" t="s">
        <v>279</v>
      </c>
      <c r="E43" s="72" t="s">
        <v>280</v>
      </c>
      <c r="F43" s="72" t="s">
        <v>281</v>
      </c>
      <c r="G43" s="72" t="s">
        <v>282</v>
      </c>
      <c r="H43" s="74">
        <v>229.75</v>
      </c>
      <c r="I43" s="74"/>
      <c r="J43" s="74">
        <v>46316.639999999999</v>
      </c>
      <c r="K43" s="66">
        <v>610.1</v>
      </c>
    </row>
    <row r="44" spans="1:11" ht="25.2" hidden="1" outlineLevel="2" x14ac:dyDescent="0.3">
      <c r="A44" s="71">
        <v>45295</v>
      </c>
      <c r="B44" s="71">
        <v>45295</v>
      </c>
      <c r="C44" s="72" t="s">
        <v>344</v>
      </c>
      <c r="D44" s="73" t="s">
        <v>345</v>
      </c>
      <c r="E44" s="72" t="s">
        <v>280</v>
      </c>
      <c r="F44" s="72" t="s">
        <v>285</v>
      </c>
      <c r="G44" s="72" t="s">
        <v>282</v>
      </c>
      <c r="H44" s="74">
        <v>3738.99</v>
      </c>
      <c r="I44" s="74"/>
      <c r="J44" s="74">
        <v>51194.23</v>
      </c>
      <c r="K44" s="66">
        <v>610.1</v>
      </c>
    </row>
    <row r="45" spans="1:11" ht="25.2" hidden="1" outlineLevel="2" x14ac:dyDescent="0.3">
      <c r="A45" s="71">
        <v>45135</v>
      </c>
      <c r="B45" s="71">
        <v>45135</v>
      </c>
      <c r="C45" s="72" t="s">
        <v>346</v>
      </c>
      <c r="D45" s="73" t="s">
        <v>347</v>
      </c>
      <c r="E45" s="72" t="s">
        <v>280</v>
      </c>
      <c r="F45" s="72" t="s">
        <v>285</v>
      </c>
      <c r="G45" s="72" t="s">
        <v>282</v>
      </c>
      <c r="H45" s="74">
        <v>737.5</v>
      </c>
      <c r="I45" s="74"/>
      <c r="J45" s="74">
        <v>9174.1</v>
      </c>
      <c r="K45" s="66">
        <v>610.1</v>
      </c>
    </row>
    <row r="46" spans="1:11" hidden="1" outlineLevel="2" x14ac:dyDescent="0.3">
      <c r="A46" s="71">
        <v>45132</v>
      </c>
      <c r="B46" s="71">
        <v>45132</v>
      </c>
      <c r="C46" s="72" t="s">
        <v>320</v>
      </c>
      <c r="D46" s="73" t="s">
        <v>348</v>
      </c>
      <c r="E46" s="72" t="s">
        <v>280</v>
      </c>
      <c r="F46" s="72" t="s">
        <v>285</v>
      </c>
      <c r="G46" s="72" t="s">
        <v>282</v>
      </c>
      <c r="H46" s="74">
        <v>185.67</v>
      </c>
      <c r="I46" s="74"/>
      <c r="J46" s="74">
        <v>5547.93</v>
      </c>
      <c r="K46" s="66">
        <v>610.1</v>
      </c>
    </row>
    <row r="47" spans="1:11" hidden="1" outlineLevel="2" x14ac:dyDescent="0.3">
      <c r="A47" s="71">
        <v>45137</v>
      </c>
      <c r="B47" s="71">
        <v>45137</v>
      </c>
      <c r="C47" s="72" t="s">
        <v>328</v>
      </c>
      <c r="D47" s="73" t="s">
        <v>348</v>
      </c>
      <c r="E47" s="72" t="s">
        <v>280</v>
      </c>
      <c r="F47" s="72" t="s">
        <v>285</v>
      </c>
      <c r="G47" s="72" t="s">
        <v>282</v>
      </c>
      <c r="H47" s="74">
        <v>106.47</v>
      </c>
      <c r="I47" s="74"/>
      <c r="J47" s="74">
        <v>9280.57</v>
      </c>
      <c r="K47" s="66">
        <v>610.1</v>
      </c>
    </row>
    <row r="48" spans="1:11" hidden="1" outlineLevel="2" x14ac:dyDescent="0.3">
      <c r="A48" s="71">
        <v>45163</v>
      </c>
      <c r="B48" s="71">
        <v>45163</v>
      </c>
      <c r="C48" s="72" t="s">
        <v>349</v>
      </c>
      <c r="D48" s="73" t="s">
        <v>348</v>
      </c>
      <c r="E48" s="72" t="s">
        <v>280</v>
      </c>
      <c r="F48" s="72" t="s">
        <v>285</v>
      </c>
      <c r="G48" s="72" t="s">
        <v>282</v>
      </c>
      <c r="H48" s="74">
        <v>146.30000000000001</v>
      </c>
      <c r="I48" s="74"/>
      <c r="J48" s="74">
        <v>28076.68</v>
      </c>
      <c r="K48" s="66">
        <v>610.1</v>
      </c>
    </row>
    <row r="49" spans="1:11" hidden="1" outlineLevel="2" x14ac:dyDescent="0.3">
      <c r="A49" s="71">
        <v>45274</v>
      </c>
      <c r="B49" s="71">
        <v>45274</v>
      </c>
      <c r="C49" s="72" t="s">
        <v>350</v>
      </c>
      <c r="D49" s="73" t="s">
        <v>284</v>
      </c>
      <c r="E49" s="72" t="s">
        <v>280</v>
      </c>
      <c r="F49" s="72" t="s">
        <v>285</v>
      </c>
      <c r="G49" s="72" t="s">
        <v>282</v>
      </c>
      <c r="H49" s="74">
        <v>28.18</v>
      </c>
      <c r="I49" s="74"/>
      <c r="J49" s="74">
        <v>47159.6</v>
      </c>
      <c r="K49" s="66">
        <v>610.1</v>
      </c>
    </row>
    <row r="50" spans="1:11" hidden="1" outlineLevel="2" x14ac:dyDescent="0.3">
      <c r="A50" s="71">
        <v>45333</v>
      </c>
      <c r="B50" s="71">
        <v>45333</v>
      </c>
      <c r="C50" s="72" t="s">
        <v>351</v>
      </c>
      <c r="D50" s="73" t="s">
        <v>290</v>
      </c>
      <c r="E50" s="72" t="s">
        <v>280</v>
      </c>
      <c r="F50" s="72" t="s">
        <v>288</v>
      </c>
      <c r="G50" s="72" t="s">
        <v>282</v>
      </c>
      <c r="H50" s="74">
        <v>50.94</v>
      </c>
      <c r="I50" s="74"/>
      <c r="J50" s="74">
        <v>53692.160000000003</v>
      </c>
      <c r="K50" s="66">
        <v>610.1</v>
      </c>
    </row>
    <row r="51" spans="1:11" outlineLevel="1" collapsed="1" x14ac:dyDescent="0.3">
      <c r="A51" s="71"/>
      <c r="B51" s="71"/>
      <c r="C51" s="72"/>
      <c r="D51" s="73"/>
      <c r="E51" s="72"/>
      <c r="F51" s="72"/>
      <c r="G51" s="72"/>
      <c r="H51" s="74">
        <f>SUBTOTAL(9,H6:H50)</f>
        <v>19463.469999999998</v>
      </c>
      <c r="I51" s="74">
        <f>SUBTOTAL(9,I6:I50)</f>
        <v>0</v>
      </c>
      <c r="J51" s="74"/>
      <c r="K51" s="75" t="s">
        <v>518</v>
      </c>
    </row>
    <row r="52" spans="1:11" hidden="1" outlineLevel="2" x14ac:dyDescent="0.3">
      <c r="A52" s="71">
        <v>45326</v>
      </c>
      <c r="B52" s="71">
        <v>45326</v>
      </c>
      <c r="C52" s="72" t="s">
        <v>352</v>
      </c>
      <c r="D52" s="73" t="s">
        <v>353</v>
      </c>
      <c r="E52" s="72" t="s">
        <v>280</v>
      </c>
      <c r="F52" s="72" t="s">
        <v>322</v>
      </c>
      <c r="G52" s="72" t="s">
        <v>282</v>
      </c>
      <c r="H52" s="74">
        <v>16.14</v>
      </c>
      <c r="I52" s="74"/>
      <c r="J52" s="74">
        <v>53510.95</v>
      </c>
      <c r="K52" s="66">
        <v>610.20000000000005</v>
      </c>
    </row>
    <row r="53" spans="1:11" hidden="1" outlineLevel="2" x14ac:dyDescent="0.3">
      <c r="A53" s="71">
        <v>45218</v>
      </c>
      <c r="B53" s="71">
        <v>45218</v>
      </c>
      <c r="C53" s="72" t="s">
        <v>354</v>
      </c>
      <c r="D53" s="73" t="s">
        <v>355</v>
      </c>
      <c r="E53" s="72" t="s">
        <v>280</v>
      </c>
      <c r="F53" s="72" t="s">
        <v>281</v>
      </c>
      <c r="G53" s="72" t="s">
        <v>282</v>
      </c>
      <c r="H53" s="74">
        <v>190.08</v>
      </c>
      <c r="I53" s="74"/>
      <c r="J53" s="74">
        <v>40130.959999999999</v>
      </c>
      <c r="K53" s="66">
        <v>610.20000000000005</v>
      </c>
    </row>
    <row r="54" spans="1:11" hidden="1" outlineLevel="2" x14ac:dyDescent="0.3">
      <c r="A54" s="71">
        <v>45226</v>
      </c>
      <c r="B54" s="71">
        <v>45226</v>
      </c>
      <c r="C54" s="72" t="s">
        <v>356</v>
      </c>
      <c r="D54" s="73" t="s">
        <v>357</v>
      </c>
      <c r="E54" s="72" t="s">
        <v>280</v>
      </c>
      <c r="F54" s="72" t="s">
        <v>322</v>
      </c>
      <c r="G54" s="72" t="s">
        <v>282</v>
      </c>
      <c r="H54" s="74">
        <v>48.99</v>
      </c>
      <c r="I54" s="74"/>
      <c r="J54" s="74">
        <v>42142</v>
      </c>
      <c r="K54" s="66">
        <v>610.20000000000005</v>
      </c>
    </row>
    <row r="55" spans="1:11" hidden="1" outlineLevel="2" x14ac:dyDescent="0.3">
      <c r="A55" s="71">
        <v>45226</v>
      </c>
      <c r="B55" s="71">
        <v>45226</v>
      </c>
      <c r="C55" s="72" t="s">
        <v>358</v>
      </c>
      <c r="D55" s="73" t="s">
        <v>357</v>
      </c>
      <c r="E55" s="72" t="s">
        <v>280</v>
      </c>
      <c r="F55" s="72" t="s">
        <v>322</v>
      </c>
      <c r="G55" s="72" t="s">
        <v>282</v>
      </c>
      <c r="H55" s="74">
        <v>79.650000000000006</v>
      </c>
      <c r="I55" s="74"/>
      <c r="J55" s="74">
        <v>42221.65</v>
      </c>
      <c r="K55" s="66">
        <v>610.20000000000005</v>
      </c>
    </row>
    <row r="56" spans="1:11" hidden="1" outlineLevel="2" x14ac:dyDescent="0.3">
      <c r="A56" s="71">
        <v>45205</v>
      </c>
      <c r="B56" s="71">
        <v>45205</v>
      </c>
      <c r="C56" s="72" t="s">
        <v>359</v>
      </c>
      <c r="D56" s="73" t="s">
        <v>360</v>
      </c>
      <c r="E56" s="72" t="s">
        <v>280</v>
      </c>
      <c r="F56" s="72" t="s">
        <v>322</v>
      </c>
      <c r="G56" s="72" t="s">
        <v>282</v>
      </c>
      <c r="H56" s="74">
        <v>105.61</v>
      </c>
      <c r="I56" s="74"/>
      <c r="J56" s="74">
        <v>39645.379999999997</v>
      </c>
      <c r="K56" s="66">
        <v>610.20000000000005</v>
      </c>
    </row>
    <row r="57" spans="1:11" ht="37.799999999999997" hidden="1" outlineLevel="2" x14ac:dyDescent="0.3">
      <c r="A57" s="71">
        <v>45151</v>
      </c>
      <c r="B57" s="71">
        <v>45151</v>
      </c>
      <c r="C57" s="72" t="s">
        <v>361</v>
      </c>
      <c r="D57" s="73" t="s">
        <v>362</v>
      </c>
      <c r="E57" s="72" t="s">
        <v>280</v>
      </c>
      <c r="F57" s="72" t="s">
        <v>298</v>
      </c>
      <c r="G57" s="72" t="s">
        <v>282</v>
      </c>
      <c r="H57" s="74">
        <v>456.64</v>
      </c>
      <c r="I57" s="74"/>
      <c r="J57" s="74">
        <v>25417.32</v>
      </c>
      <c r="K57" s="66">
        <v>610.20000000000005</v>
      </c>
    </row>
    <row r="58" spans="1:11" ht="25.2" hidden="1" outlineLevel="2" x14ac:dyDescent="0.3">
      <c r="A58" s="71">
        <v>45235</v>
      </c>
      <c r="B58" s="71">
        <v>45235</v>
      </c>
      <c r="C58" s="72" t="s">
        <v>363</v>
      </c>
      <c r="D58" s="73" t="s">
        <v>364</v>
      </c>
      <c r="E58" s="72" t="s">
        <v>280</v>
      </c>
      <c r="F58" s="72" t="s">
        <v>281</v>
      </c>
      <c r="G58" s="72" t="s">
        <v>282</v>
      </c>
      <c r="H58" s="74">
        <v>27.89</v>
      </c>
      <c r="I58" s="74"/>
      <c r="J58" s="74">
        <v>42557</v>
      </c>
      <c r="K58" s="66">
        <v>610.20000000000005</v>
      </c>
    </row>
    <row r="59" spans="1:11" hidden="1" outlineLevel="2" x14ac:dyDescent="0.3">
      <c r="A59" s="71">
        <v>45141</v>
      </c>
      <c r="B59" s="71">
        <v>45141</v>
      </c>
      <c r="C59" s="72" t="s">
        <v>365</v>
      </c>
      <c r="D59" s="73" t="s">
        <v>366</v>
      </c>
      <c r="E59" s="72" t="s">
        <v>280</v>
      </c>
      <c r="F59" s="72" t="s">
        <v>298</v>
      </c>
      <c r="G59" s="72" t="s">
        <v>282</v>
      </c>
      <c r="H59" s="74">
        <v>221.25</v>
      </c>
      <c r="I59" s="74"/>
      <c r="J59" s="74">
        <v>23978.09</v>
      </c>
      <c r="K59" s="66">
        <v>610.20000000000005</v>
      </c>
    </row>
    <row r="60" spans="1:11" hidden="1" outlineLevel="2" x14ac:dyDescent="0.3">
      <c r="A60" s="71">
        <v>45128</v>
      </c>
      <c r="B60" s="71">
        <v>45128</v>
      </c>
      <c r="C60" s="72" t="s">
        <v>367</v>
      </c>
      <c r="D60" s="73" t="s">
        <v>368</v>
      </c>
      <c r="E60" s="72" t="s">
        <v>280</v>
      </c>
      <c r="F60" s="72" t="s">
        <v>298</v>
      </c>
      <c r="G60" s="72" t="s">
        <v>282</v>
      </c>
      <c r="H60" s="74">
        <v>4060</v>
      </c>
      <c r="I60" s="74"/>
      <c r="J60" s="74">
        <v>4726.79</v>
      </c>
      <c r="K60" s="66">
        <v>610.20000000000005</v>
      </c>
    </row>
    <row r="61" spans="1:11" ht="50.4" hidden="1" outlineLevel="2" x14ac:dyDescent="0.3">
      <c r="A61" s="71">
        <v>45188</v>
      </c>
      <c r="B61" s="71">
        <v>45188</v>
      </c>
      <c r="C61" s="72" t="s">
        <v>369</v>
      </c>
      <c r="D61" s="73" t="s">
        <v>370</v>
      </c>
      <c r="E61" s="72" t="s">
        <v>280</v>
      </c>
      <c r="F61" s="72" t="s">
        <v>298</v>
      </c>
      <c r="G61" s="72" t="s">
        <v>282</v>
      </c>
      <c r="H61" s="74">
        <v>2075</v>
      </c>
      <c r="I61" s="74"/>
      <c r="J61" s="74">
        <v>36900.980000000003</v>
      </c>
      <c r="K61" s="66">
        <v>610.20000000000005</v>
      </c>
    </row>
    <row r="62" spans="1:11" ht="25.2" hidden="1" outlineLevel="2" x14ac:dyDescent="0.3">
      <c r="A62" s="71">
        <v>45226</v>
      </c>
      <c r="B62" s="71">
        <v>45226</v>
      </c>
      <c r="C62" s="72" t="s">
        <v>356</v>
      </c>
      <c r="D62" s="73" t="s">
        <v>371</v>
      </c>
      <c r="E62" s="72" t="s">
        <v>280</v>
      </c>
      <c r="F62" s="72" t="s">
        <v>281</v>
      </c>
      <c r="G62" s="72" t="s">
        <v>282</v>
      </c>
      <c r="H62" s="74">
        <v>20.96</v>
      </c>
      <c r="I62" s="74"/>
      <c r="J62" s="74">
        <v>42093.01</v>
      </c>
      <c r="K62" s="66">
        <v>610.20000000000005</v>
      </c>
    </row>
    <row r="63" spans="1:11" hidden="1" outlineLevel="2" x14ac:dyDescent="0.3">
      <c r="A63" s="71">
        <v>45158</v>
      </c>
      <c r="B63" s="71">
        <v>45158</v>
      </c>
      <c r="C63" s="72" t="s">
        <v>372</v>
      </c>
      <c r="D63" s="73" t="s">
        <v>373</v>
      </c>
      <c r="E63" s="72" t="s">
        <v>280</v>
      </c>
      <c r="F63" s="72" t="s">
        <v>288</v>
      </c>
      <c r="G63" s="72" t="s">
        <v>282</v>
      </c>
      <c r="H63" s="74">
        <v>21.92</v>
      </c>
      <c r="I63" s="74"/>
      <c r="J63" s="74">
        <v>26366.31</v>
      </c>
      <c r="K63" s="66">
        <v>610.20000000000005</v>
      </c>
    </row>
    <row r="64" spans="1:11" ht="25.2" hidden="1" outlineLevel="2" x14ac:dyDescent="0.3">
      <c r="A64" s="71">
        <v>45268</v>
      </c>
      <c r="B64" s="71">
        <v>45268</v>
      </c>
      <c r="C64" s="72" t="s">
        <v>374</v>
      </c>
      <c r="D64" s="73" t="s">
        <v>375</v>
      </c>
      <c r="E64" s="72" t="s">
        <v>280</v>
      </c>
      <c r="F64" s="72" t="s">
        <v>322</v>
      </c>
      <c r="G64" s="72" t="s">
        <v>282</v>
      </c>
      <c r="H64" s="74">
        <v>26.91</v>
      </c>
      <c r="I64" s="74"/>
      <c r="J64" s="74">
        <v>46563.6</v>
      </c>
      <c r="K64" s="66">
        <v>610.20000000000005</v>
      </c>
    </row>
    <row r="65" spans="1:11" hidden="1" outlineLevel="2" x14ac:dyDescent="0.3">
      <c r="A65" s="71">
        <v>45158</v>
      </c>
      <c r="B65" s="71">
        <v>45158</v>
      </c>
      <c r="C65" s="72" t="s">
        <v>372</v>
      </c>
      <c r="D65" s="73" t="s">
        <v>376</v>
      </c>
      <c r="E65" s="72" t="s">
        <v>280</v>
      </c>
      <c r="F65" s="72" t="s">
        <v>322</v>
      </c>
      <c r="G65" s="72" t="s">
        <v>282</v>
      </c>
      <c r="H65" s="74">
        <v>1068.8599999999999</v>
      </c>
      <c r="I65" s="74"/>
      <c r="J65" s="74">
        <v>27435.17</v>
      </c>
      <c r="K65" s="66">
        <v>610.20000000000005</v>
      </c>
    </row>
    <row r="66" spans="1:11" hidden="1" outlineLevel="2" x14ac:dyDescent="0.3">
      <c r="A66" s="71">
        <v>45140</v>
      </c>
      <c r="B66" s="71">
        <v>45140</v>
      </c>
      <c r="C66" s="72" t="s">
        <v>377</v>
      </c>
      <c r="D66" s="73" t="s">
        <v>378</v>
      </c>
      <c r="E66" s="72" t="s">
        <v>280</v>
      </c>
      <c r="F66" s="72" t="s">
        <v>288</v>
      </c>
      <c r="G66" s="72" t="s">
        <v>282</v>
      </c>
      <c r="H66" s="74">
        <v>599.98</v>
      </c>
      <c r="I66" s="74"/>
      <c r="J66" s="74">
        <v>11921.52</v>
      </c>
      <c r="K66" s="66">
        <v>610.20000000000005</v>
      </c>
    </row>
    <row r="67" spans="1:11" ht="25.2" hidden="1" outlineLevel="2" x14ac:dyDescent="0.3">
      <c r="A67" s="71">
        <v>45128</v>
      </c>
      <c r="B67" s="71">
        <v>45128</v>
      </c>
      <c r="C67" s="72" t="s">
        <v>379</v>
      </c>
      <c r="D67" s="73" t="s">
        <v>380</v>
      </c>
      <c r="E67" s="72" t="s">
        <v>280</v>
      </c>
      <c r="F67" s="72" t="s">
        <v>281</v>
      </c>
      <c r="G67" s="72" t="s">
        <v>282</v>
      </c>
      <c r="H67" s="74">
        <v>225</v>
      </c>
      <c r="I67" s="74"/>
      <c r="J67" s="74">
        <v>4951.79</v>
      </c>
      <c r="K67" s="66">
        <v>610.20000000000005</v>
      </c>
    </row>
    <row r="68" spans="1:11" ht="25.2" hidden="1" outlineLevel="2" x14ac:dyDescent="0.3">
      <c r="A68" s="71">
        <v>45144</v>
      </c>
      <c r="B68" s="71">
        <v>45144</v>
      </c>
      <c r="C68" s="72" t="s">
        <v>381</v>
      </c>
      <c r="D68" s="73" t="s">
        <v>382</v>
      </c>
      <c r="E68" s="72" t="s">
        <v>280</v>
      </c>
      <c r="F68" s="72" t="s">
        <v>322</v>
      </c>
      <c r="G68" s="72" t="s">
        <v>282</v>
      </c>
      <c r="H68" s="74">
        <v>196.38</v>
      </c>
      <c r="I68" s="74"/>
      <c r="J68" s="74">
        <v>24174.47</v>
      </c>
      <c r="K68" s="66">
        <v>610.20000000000005</v>
      </c>
    </row>
    <row r="69" spans="1:11" hidden="1" outlineLevel="2" x14ac:dyDescent="0.3">
      <c r="A69" s="71">
        <v>45130</v>
      </c>
      <c r="B69" s="71">
        <v>45130</v>
      </c>
      <c r="C69" s="72" t="s">
        <v>383</v>
      </c>
      <c r="D69" s="73" t="s">
        <v>384</v>
      </c>
      <c r="E69" s="72" t="s">
        <v>280</v>
      </c>
      <c r="F69" s="72" t="s">
        <v>322</v>
      </c>
      <c r="G69" s="72" t="s">
        <v>282</v>
      </c>
      <c r="H69" s="74">
        <v>300</v>
      </c>
      <c r="I69" s="74"/>
      <c r="J69" s="74">
        <v>5251.79</v>
      </c>
      <c r="K69" s="66">
        <v>610.20000000000005</v>
      </c>
    </row>
    <row r="70" spans="1:11" hidden="1" outlineLevel="2" x14ac:dyDescent="0.3">
      <c r="A70" s="71">
        <v>45134</v>
      </c>
      <c r="B70" s="71">
        <v>45134</v>
      </c>
      <c r="C70" s="72" t="s">
        <v>385</v>
      </c>
      <c r="D70" s="73" t="s">
        <v>386</v>
      </c>
      <c r="E70" s="72" t="s">
        <v>280</v>
      </c>
      <c r="F70" s="72" t="s">
        <v>322</v>
      </c>
      <c r="G70" s="72" t="s">
        <v>282</v>
      </c>
      <c r="H70" s="74">
        <v>124.05</v>
      </c>
      <c r="I70" s="74"/>
      <c r="J70" s="74">
        <v>6073.5</v>
      </c>
      <c r="K70" s="66">
        <v>610.20000000000005</v>
      </c>
    </row>
    <row r="71" spans="1:11" hidden="1" outlineLevel="2" x14ac:dyDescent="0.3">
      <c r="A71" s="71">
        <v>45155</v>
      </c>
      <c r="B71" s="71">
        <v>45155</v>
      </c>
      <c r="C71" s="72" t="s">
        <v>310</v>
      </c>
      <c r="D71" s="73" t="s">
        <v>386</v>
      </c>
      <c r="E71" s="72" t="s">
        <v>280</v>
      </c>
      <c r="F71" s="72" t="s">
        <v>322</v>
      </c>
      <c r="G71" s="72" t="s">
        <v>282</v>
      </c>
      <c r="H71" s="74">
        <v>24.73</v>
      </c>
      <c r="I71" s="74"/>
      <c r="J71" s="74">
        <v>26210.59</v>
      </c>
      <c r="K71" s="66">
        <v>610.20000000000005</v>
      </c>
    </row>
    <row r="72" spans="1:11" hidden="1" outlineLevel="2" x14ac:dyDescent="0.3">
      <c r="A72" s="71">
        <v>45165</v>
      </c>
      <c r="B72" s="71">
        <v>45165</v>
      </c>
      <c r="C72" s="72" t="s">
        <v>387</v>
      </c>
      <c r="D72" s="73" t="s">
        <v>386</v>
      </c>
      <c r="E72" s="72" t="s">
        <v>280</v>
      </c>
      <c r="F72" s="72" t="s">
        <v>322</v>
      </c>
      <c r="G72" s="72" t="s">
        <v>282</v>
      </c>
      <c r="H72" s="74">
        <v>180.83</v>
      </c>
      <c r="I72" s="74"/>
      <c r="J72" s="74">
        <v>28444.43</v>
      </c>
      <c r="K72" s="66">
        <v>610.20000000000005</v>
      </c>
    </row>
    <row r="73" spans="1:11" hidden="1" outlineLevel="2" x14ac:dyDescent="0.3">
      <c r="A73" s="71">
        <v>45186</v>
      </c>
      <c r="B73" s="71">
        <v>45186</v>
      </c>
      <c r="C73" s="72" t="s">
        <v>388</v>
      </c>
      <c r="D73" s="73" t="s">
        <v>386</v>
      </c>
      <c r="E73" s="72" t="s">
        <v>280</v>
      </c>
      <c r="F73" s="72" t="s">
        <v>322</v>
      </c>
      <c r="G73" s="72" t="s">
        <v>282</v>
      </c>
      <c r="H73" s="74">
        <v>32.29</v>
      </c>
      <c r="I73" s="74"/>
      <c r="J73" s="74">
        <v>34730.120000000003</v>
      </c>
      <c r="K73" s="66">
        <v>610.20000000000005</v>
      </c>
    </row>
    <row r="74" spans="1:11" hidden="1" outlineLevel="2" x14ac:dyDescent="0.3">
      <c r="A74" s="71">
        <v>45186</v>
      </c>
      <c r="B74" s="71">
        <v>45186</v>
      </c>
      <c r="C74" s="72" t="s">
        <v>389</v>
      </c>
      <c r="D74" s="73" t="s">
        <v>386</v>
      </c>
      <c r="E74" s="72" t="s">
        <v>280</v>
      </c>
      <c r="F74" s="72" t="s">
        <v>322</v>
      </c>
      <c r="G74" s="72" t="s">
        <v>282</v>
      </c>
      <c r="H74" s="74">
        <v>27.49</v>
      </c>
      <c r="I74" s="74"/>
      <c r="J74" s="74">
        <v>34757.61</v>
      </c>
      <c r="K74" s="66">
        <v>610.20000000000005</v>
      </c>
    </row>
    <row r="75" spans="1:11" hidden="1" outlineLevel="2" x14ac:dyDescent="0.3">
      <c r="A75" s="71">
        <v>45186</v>
      </c>
      <c r="B75" s="71">
        <v>45186</v>
      </c>
      <c r="C75" s="72" t="s">
        <v>390</v>
      </c>
      <c r="D75" s="73" t="s">
        <v>386</v>
      </c>
      <c r="E75" s="72" t="s">
        <v>280</v>
      </c>
      <c r="F75" s="72" t="s">
        <v>322</v>
      </c>
      <c r="G75" s="72" t="s">
        <v>282</v>
      </c>
      <c r="H75" s="74">
        <v>29.07</v>
      </c>
      <c r="I75" s="74"/>
      <c r="J75" s="74">
        <v>34786.68</v>
      </c>
      <c r="K75" s="66">
        <v>610.20000000000005</v>
      </c>
    </row>
    <row r="76" spans="1:11" hidden="1" outlineLevel="2" x14ac:dyDescent="0.3">
      <c r="A76" s="71">
        <v>45186</v>
      </c>
      <c r="B76" s="71">
        <v>45186</v>
      </c>
      <c r="C76" s="72" t="s">
        <v>391</v>
      </c>
      <c r="D76" s="73" t="s">
        <v>386</v>
      </c>
      <c r="E76" s="72" t="s">
        <v>280</v>
      </c>
      <c r="F76" s="72" t="s">
        <v>322</v>
      </c>
      <c r="G76" s="72" t="s">
        <v>282</v>
      </c>
      <c r="H76" s="74">
        <v>39.299999999999997</v>
      </c>
      <c r="I76" s="74"/>
      <c r="J76" s="74">
        <v>34825.980000000003</v>
      </c>
      <c r="K76" s="66">
        <v>610.20000000000005</v>
      </c>
    </row>
    <row r="77" spans="1:11" ht="25.2" hidden="1" outlineLevel="2" x14ac:dyDescent="0.3">
      <c r="A77" s="71">
        <v>45131</v>
      </c>
      <c r="B77" s="71">
        <v>45131</v>
      </c>
      <c r="C77" s="72" t="s">
        <v>392</v>
      </c>
      <c r="D77" s="73" t="s">
        <v>393</v>
      </c>
      <c r="E77" s="72" t="s">
        <v>280</v>
      </c>
      <c r="F77" s="72" t="s">
        <v>322</v>
      </c>
      <c r="G77" s="72" t="s">
        <v>282</v>
      </c>
      <c r="H77" s="74">
        <v>110.47</v>
      </c>
      <c r="I77" s="74"/>
      <c r="J77" s="74">
        <v>5362.26</v>
      </c>
      <c r="K77" s="66">
        <v>610.20000000000005</v>
      </c>
    </row>
    <row r="78" spans="1:11" hidden="1" outlineLevel="2" x14ac:dyDescent="0.3">
      <c r="A78" s="71">
        <v>45193</v>
      </c>
      <c r="B78" s="71">
        <v>45193</v>
      </c>
      <c r="C78" s="72" t="s">
        <v>394</v>
      </c>
      <c r="D78" s="73" t="s">
        <v>353</v>
      </c>
      <c r="E78" s="72" t="s">
        <v>280</v>
      </c>
      <c r="F78" s="72" t="s">
        <v>322</v>
      </c>
      <c r="G78" s="72" t="s">
        <v>282</v>
      </c>
      <c r="H78" s="74">
        <v>138.88999999999999</v>
      </c>
      <c r="I78" s="74"/>
      <c r="J78" s="74">
        <v>37697.14</v>
      </c>
      <c r="K78" s="66">
        <v>610.20000000000005</v>
      </c>
    </row>
    <row r="79" spans="1:11" hidden="1" outlineLevel="2" x14ac:dyDescent="0.3">
      <c r="A79" s="71">
        <v>45221</v>
      </c>
      <c r="B79" s="71">
        <v>45221</v>
      </c>
      <c r="C79" s="72" t="s">
        <v>395</v>
      </c>
      <c r="D79" s="73" t="s">
        <v>353</v>
      </c>
      <c r="E79" s="72" t="s">
        <v>280</v>
      </c>
      <c r="F79" s="72" t="s">
        <v>322</v>
      </c>
      <c r="G79" s="72" t="s">
        <v>282</v>
      </c>
      <c r="H79" s="74">
        <v>34.909999999999997</v>
      </c>
      <c r="I79" s="74"/>
      <c r="J79" s="74">
        <v>41811.230000000003</v>
      </c>
      <c r="K79" s="66">
        <v>610.20000000000005</v>
      </c>
    </row>
    <row r="80" spans="1:11" hidden="1" outlineLevel="2" x14ac:dyDescent="0.3">
      <c r="A80" s="71">
        <v>45228</v>
      </c>
      <c r="B80" s="71">
        <v>45228</v>
      </c>
      <c r="C80" s="72" t="s">
        <v>396</v>
      </c>
      <c r="D80" s="73" t="s">
        <v>353</v>
      </c>
      <c r="E80" s="72" t="s">
        <v>280</v>
      </c>
      <c r="F80" s="72" t="s">
        <v>322</v>
      </c>
      <c r="G80" s="72" t="s">
        <v>282</v>
      </c>
      <c r="H80" s="74">
        <v>47.33</v>
      </c>
      <c r="I80" s="74"/>
      <c r="J80" s="74">
        <v>42279.86</v>
      </c>
      <c r="K80" s="66">
        <v>610.20000000000005</v>
      </c>
    </row>
    <row r="81" spans="1:11" hidden="1" outlineLevel="2" x14ac:dyDescent="0.3">
      <c r="A81" s="71">
        <v>45312</v>
      </c>
      <c r="B81" s="71">
        <v>45312</v>
      </c>
      <c r="C81" s="72" t="s">
        <v>397</v>
      </c>
      <c r="D81" s="73" t="s">
        <v>353</v>
      </c>
      <c r="E81" s="72" t="s">
        <v>280</v>
      </c>
      <c r="F81" s="72" t="s">
        <v>322</v>
      </c>
      <c r="G81" s="72" t="s">
        <v>282</v>
      </c>
      <c r="H81" s="74">
        <v>180.14</v>
      </c>
      <c r="I81" s="74"/>
      <c r="J81" s="74">
        <v>52482.52</v>
      </c>
      <c r="K81" s="66">
        <v>610.20000000000005</v>
      </c>
    </row>
    <row r="82" spans="1:11" hidden="1" outlineLevel="2" x14ac:dyDescent="0.3">
      <c r="A82" s="71">
        <v>45312</v>
      </c>
      <c r="B82" s="71">
        <v>45312</v>
      </c>
      <c r="C82" s="72" t="s">
        <v>398</v>
      </c>
      <c r="D82" s="73" t="s">
        <v>353</v>
      </c>
      <c r="E82" s="72" t="s">
        <v>280</v>
      </c>
      <c r="F82" s="72" t="s">
        <v>322</v>
      </c>
      <c r="G82" s="72" t="s">
        <v>282</v>
      </c>
      <c r="H82" s="74">
        <v>20.95</v>
      </c>
      <c r="I82" s="74"/>
      <c r="J82" s="74">
        <v>52503.47</v>
      </c>
      <c r="K82" s="66">
        <v>610.20000000000005</v>
      </c>
    </row>
    <row r="83" spans="1:11" ht="25.2" hidden="1" outlineLevel="2" x14ac:dyDescent="0.3">
      <c r="A83" s="71">
        <v>45217</v>
      </c>
      <c r="B83" s="71">
        <v>45217</v>
      </c>
      <c r="C83" s="72" t="s">
        <v>399</v>
      </c>
      <c r="D83" s="73" t="s">
        <v>400</v>
      </c>
      <c r="E83" s="72" t="s">
        <v>280</v>
      </c>
      <c r="F83" s="72" t="s">
        <v>322</v>
      </c>
      <c r="G83" s="72" t="s">
        <v>282</v>
      </c>
      <c r="H83" s="74">
        <v>324.57</v>
      </c>
      <c r="I83" s="74"/>
      <c r="J83" s="74">
        <v>39940.879999999997</v>
      </c>
      <c r="K83" s="66">
        <v>610.20000000000005</v>
      </c>
    </row>
    <row r="84" spans="1:11" hidden="1" outlineLevel="2" x14ac:dyDescent="0.3">
      <c r="A84" s="71">
        <v>45145</v>
      </c>
      <c r="B84" s="71">
        <v>45145</v>
      </c>
      <c r="C84" s="72" t="s">
        <v>321</v>
      </c>
      <c r="D84" s="73" t="s">
        <v>401</v>
      </c>
      <c r="E84" s="72" t="s">
        <v>280</v>
      </c>
      <c r="F84" s="72" t="s">
        <v>322</v>
      </c>
      <c r="G84" s="72" t="s">
        <v>282</v>
      </c>
      <c r="H84" s="74">
        <v>479.76</v>
      </c>
      <c r="I84" s="74"/>
      <c r="J84" s="74">
        <v>24662.22</v>
      </c>
      <c r="K84" s="66">
        <v>610.20000000000005</v>
      </c>
    </row>
    <row r="85" spans="1:11" hidden="1" outlineLevel="2" x14ac:dyDescent="0.3">
      <c r="A85" s="71">
        <v>45151</v>
      </c>
      <c r="B85" s="71">
        <v>45151</v>
      </c>
      <c r="C85" s="72" t="s">
        <v>331</v>
      </c>
      <c r="D85" s="73" t="s">
        <v>401</v>
      </c>
      <c r="E85" s="72" t="s">
        <v>280</v>
      </c>
      <c r="F85" s="72" t="s">
        <v>322</v>
      </c>
      <c r="G85" s="72" t="s">
        <v>282</v>
      </c>
      <c r="H85" s="74">
        <v>69.67</v>
      </c>
      <c r="I85" s="74"/>
      <c r="J85" s="74">
        <v>24960.68</v>
      </c>
      <c r="K85" s="66">
        <v>610.20000000000005</v>
      </c>
    </row>
    <row r="86" spans="1:11" hidden="1" outlineLevel="2" x14ac:dyDescent="0.3">
      <c r="A86" s="71">
        <v>45186</v>
      </c>
      <c r="B86" s="71">
        <v>45186</v>
      </c>
      <c r="C86" s="72"/>
      <c r="D86" s="73" t="s">
        <v>402</v>
      </c>
      <c r="E86" s="72" t="s">
        <v>280</v>
      </c>
      <c r="F86" s="72" t="s">
        <v>322</v>
      </c>
      <c r="G86" s="72" t="s">
        <v>403</v>
      </c>
      <c r="H86" s="74"/>
      <c r="I86" s="74">
        <v>39.299999999999997</v>
      </c>
      <c r="J86" s="74">
        <v>34697.83</v>
      </c>
      <c r="K86" s="66">
        <v>610.20000000000005</v>
      </c>
    </row>
    <row r="87" spans="1:11" hidden="1" outlineLevel="2" x14ac:dyDescent="0.3">
      <c r="A87" s="71">
        <v>45209</v>
      </c>
      <c r="B87" s="71">
        <v>45209</v>
      </c>
      <c r="C87" s="72"/>
      <c r="D87" s="73" t="s">
        <v>402</v>
      </c>
      <c r="E87" s="72" t="s">
        <v>280</v>
      </c>
      <c r="F87" s="72" t="s">
        <v>322</v>
      </c>
      <c r="G87" s="72" t="s">
        <v>403</v>
      </c>
      <c r="H87" s="74"/>
      <c r="I87" s="74">
        <v>29.07</v>
      </c>
      <c r="J87" s="74">
        <v>39616.31</v>
      </c>
      <c r="K87" s="66">
        <v>610.20000000000005</v>
      </c>
    </row>
    <row r="88" spans="1:11" outlineLevel="1" collapsed="1" x14ac:dyDescent="0.3">
      <c r="A88" s="71"/>
      <c r="B88" s="71"/>
      <c r="C88" s="72"/>
      <c r="D88" s="73"/>
      <c r="E88" s="72"/>
      <c r="F88" s="72"/>
      <c r="G88" s="72"/>
      <c r="H88" s="74">
        <f>SUBTOTAL(9,H52:H87)</f>
        <v>11605.709999999995</v>
      </c>
      <c r="I88" s="74">
        <f>SUBTOTAL(9,I52:I87)</f>
        <v>68.37</v>
      </c>
      <c r="J88" s="74"/>
      <c r="K88" s="75" t="s">
        <v>519</v>
      </c>
    </row>
    <row r="89" spans="1:11" ht="25.2" hidden="1" outlineLevel="2" x14ac:dyDescent="0.3">
      <c r="A89" s="71">
        <v>45314</v>
      </c>
      <c r="B89" s="71">
        <v>45314</v>
      </c>
      <c r="C89" s="72" t="s">
        <v>404</v>
      </c>
      <c r="D89" s="73" t="s">
        <v>405</v>
      </c>
      <c r="E89" s="72" t="s">
        <v>280</v>
      </c>
      <c r="F89" s="72" t="s">
        <v>285</v>
      </c>
      <c r="G89" s="72" t="s">
        <v>282</v>
      </c>
      <c r="H89" s="74">
        <v>358.8</v>
      </c>
      <c r="I89" s="74"/>
      <c r="J89" s="74">
        <v>52862.27</v>
      </c>
      <c r="K89" s="66">
        <v>610.29999999999995</v>
      </c>
    </row>
    <row r="90" spans="1:11" hidden="1" outlineLevel="2" x14ac:dyDescent="0.3">
      <c r="A90" s="71">
        <v>45141</v>
      </c>
      <c r="B90" s="71">
        <v>45141</v>
      </c>
      <c r="C90" s="72"/>
      <c r="D90" s="73" t="s">
        <v>406</v>
      </c>
      <c r="E90" s="72" t="s">
        <v>280</v>
      </c>
      <c r="F90" s="72" t="s">
        <v>285</v>
      </c>
      <c r="G90" s="72" t="s">
        <v>407</v>
      </c>
      <c r="H90" s="74">
        <v>9880</v>
      </c>
      <c r="I90" s="74"/>
      <c r="J90" s="74">
        <v>23756.84</v>
      </c>
      <c r="K90" s="66">
        <v>610.29999999999995</v>
      </c>
    </row>
    <row r="91" spans="1:11" ht="25.2" hidden="1" outlineLevel="2" x14ac:dyDescent="0.3">
      <c r="A91" s="71">
        <v>45155</v>
      </c>
      <c r="B91" s="71">
        <v>45155</v>
      </c>
      <c r="C91" s="72" t="s">
        <v>408</v>
      </c>
      <c r="D91" s="73" t="s">
        <v>409</v>
      </c>
      <c r="E91" s="72" t="s">
        <v>280</v>
      </c>
      <c r="F91" s="72" t="s">
        <v>410</v>
      </c>
      <c r="G91" s="72" t="s">
        <v>282</v>
      </c>
      <c r="H91" s="74">
        <v>133.80000000000001</v>
      </c>
      <c r="I91" s="74"/>
      <c r="J91" s="74">
        <v>26344.39</v>
      </c>
      <c r="K91" s="66">
        <v>610.29999999999995</v>
      </c>
    </row>
    <row r="92" spans="1:11" ht="25.2" hidden="1" outlineLevel="2" x14ac:dyDescent="0.3">
      <c r="A92" s="71">
        <v>45139</v>
      </c>
      <c r="B92" s="71">
        <v>45139</v>
      </c>
      <c r="C92" s="72" t="s">
        <v>411</v>
      </c>
      <c r="D92" s="73" t="s">
        <v>412</v>
      </c>
      <c r="E92" s="72" t="s">
        <v>280</v>
      </c>
      <c r="F92" s="72" t="s">
        <v>410</v>
      </c>
      <c r="G92" s="72" t="s">
        <v>282</v>
      </c>
      <c r="H92" s="74">
        <v>147.18</v>
      </c>
      <c r="I92" s="74"/>
      <c r="J92" s="74">
        <v>11321.54</v>
      </c>
      <c r="K92" s="66">
        <v>610.29999999999995</v>
      </c>
    </row>
    <row r="93" spans="1:11" ht="25.2" hidden="1" outlineLevel="2" x14ac:dyDescent="0.3">
      <c r="A93" s="71">
        <v>45134</v>
      </c>
      <c r="B93" s="71">
        <v>45134</v>
      </c>
      <c r="C93" s="72" t="s">
        <v>385</v>
      </c>
      <c r="D93" s="73" t="s">
        <v>413</v>
      </c>
      <c r="E93" s="72" t="s">
        <v>280</v>
      </c>
      <c r="F93" s="72" t="s">
        <v>410</v>
      </c>
      <c r="G93" s="72" t="s">
        <v>282</v>
      </c>
      <c r="H93" s="74">
        <v>179.16</v>
      </c>
      <c r="I93" s="74"/>
      <c r="J93" s="74">
        <v>6252.66</v>
      </c>
      <c r="K93" s="66">
        <v>610.29999999999995</v>
      </c>
    </row>
    <row r="94" spans="1:11" hidden="1" outlineLevel="2" x14ac:dyDescent="0.3">
      <c r="A94" s="71">
        <v>45108</v>
      </c>
      <c r="B94" s="71">
        <v>45108</v>
      </c>
      <c r="C94" s="72" t="s">
        <v>414</v>
      </c>
      <c r="D94" s="73" t="s">
        <v>415</v>
      </c>
      <c r="E94" s="72" t="s">
        <v>280</v>
      </c>
      <c r="F94" s="72" t="s">
        <v>285</v>
      </c>
      <c r="G94" s="72" t="s">
        <v>282</v>
      </c>
      <c r="H94" s="74">
        <v>92</v>
      </c>
      <c r="I94" s="74"/>
      <c r="J94" s="74">
        <v>273.44</v>
      </c>
      <c r="K94" s="66">
        <v>610.29999999999995</v>
      </c>
    </row>
    <row r="95" spans="1:11" hidden="1" outlineLevel="2" x14ac:dyDescent="0.3">
      <c r="A95" s="71">
        <v>45108</v>
      </c>
      <c r="B95" s="71">
        <v>45108</v>
      </c>
      <c r="C95" s="72" t="s">
        <v>416</v>
      </c>
      <c r="D95" s="73" t="s">
        <v>417</v>
      </c>
      <c r="E95" s="72" t="s">
        <v>280</v>
      </c>
      <c r="F95" s="72" t="s">
        <v>285</v>
      </c>
      <c r="G95" s="72" t="s">
        <v>282</v>
      </c>
      <c r="H95" s="74">
        <v>181.44</v>
      </c>
      <c r="I95" s="74"/>
      <c r="J95" s="74">
        <v>181.44</v>
      </c>
      <c r="K95" s="66">
        <v>610.29999999999995</v>
      </c>
    </row>
    <row r="96" spans="1:11" hidden="1" outlineLevel="2" x14ac:dyDescent="0.3">
      <c r="A96" s="71">
        <v>45133</v>
      </c>
      <c r="B96" s="71">
        <v>45133</v>
      </c>
      <c r="C96" s="72" t="s">
        <v>307</v>
      </c>
      <c r="D96" s="73" t="s">
        <v>418</v>
      </c>
      <c r="E96" s="72" t="s">
        <v>280</v>
      </c>
      <c r="F96" s="72" t="s">
        <v>285</v>
      </c>
      <c r="G96" s="72" t="s">
        <v>282</v>
      </c>
      <c r="H96" s="74">
        <v>239.56</v>
      </c>
      <c r="I96" s="74"/>
      <c r="J96" s="74">
        <v>5937.46</v>
      </c>
      <c r="K96" s="66">
        <v>610.29999999999995</v>
      </c>
    </row>
    <row r="97" spans="1:11" ht="25.2" hidden="1" outlineLevel="2" x14ac:dyDescent="0.3">
      <c r="A97" s="71">
        <v>45303</v>
      </c>
      <c r="B97" s="71">
        <v>45303</v>
      </c>
      <c r="C97" s="72" t="s">
        <v>419</v>
      </c>
      <c r="D97" s="73" t="s">
        <v>420</v>
      </c>
      <c r="E97" s="72" t="s">
        <v>280</v>
      </c>
      <c r="F97" s="72" t="s">
        <v>288</v>
      </c>
      <c r="G97" s="72" t="s">
        <v>282</v>
      </c>
      <c r="H97" s="74">
        <v>223.55</v>
      </c>
      <c r="I97" s="74"/>
      <c r="J97" s="74">
        <v>52222.45</v>
      </c>
      <c r="K97" s="66">
        <v>610.29999999999995</v>
      </c>
    </row>
    <row r="98" spans="1:11" ht="25.2" hidden="1" outlineLevel="2" x14ac:dyDescent="0.3">
      <c r="A98" s="71">
        <v>45219</v>
      </c>
      <c r="B98" s="71">
        <v>45219</v>
      </c>
      <c r="C98" s="72" t="s">
        <v>421</v>
      </c>
      <c r="D98" s="73" t="s">
        <v>422</v>
      </c>
      <c r="E98" s="72" t="s">
        <v>280</v>
      </c>
      <c r="F98" s="72" t="s">
        <v>285</v>
      </c>
      <c r="G98" s="72" t="s">
        <v>282</v>
      </c>
      <c r="H98" s="74">
        <v>1625.4</v>
      </c>
      <c r="I98" s="74"/>
      <c r="J98" s="74">
        <v>41756.36</v>
      </c>
      <c r="K98" s="66">
        <v>610.29999999999995</v>
      </c>
    </row>
    <row r="99" spans="1:11" outlineLevel="1" collapsed="1" x14ac:dyDescent="0.3">
      <c r="A99" s="71"/>
      <c r="B99" s="71"/>
      <c r="C99" s="72"/>
      <c r="D99" s="73"/>
      <c r="E99" s="72"/>
      <c r="F99" s="72"/>
      <c r="G99" s="72"/>
      <c r="H99" s="74">
        <f>SUBTOTAL(9,H89:H98)</f>
        <v>13060.889999999998</v>
      </c>
      <c r="I99" s="74">
        <f>SUBTOTAL(9,I89:I98)</f>
        <v>0</v>
      </c>
      <c r="J99" s="74"/>
      <c r="K99" s="75" t="s">
        <v>520</v>
      </c>
    </row>
    <row r="100" spans="1:11" outlineLevel="1" x14ac:dyDescent="0.3">
      <c r="A100" s="71">
        <v>45179</v>
      </c>
      <c r="B100" s="71">
        <v>45179</v>
      </c>
      <c r="C100" s="72" t="s">
        <v>423</v>
      </c>
      <c r="D100" s="73" t="s">
        <v>424</v>
      </c>
      <c r="E100" s="72" t="s">
        <v>280</v>
      </c>
      <c r="F100" s="72" t="s">
        <v>281</v>
      </c>
      <c r="G100" s="72" t="s">
        <v>282</v>
      </c>
      <c r="H100" s="74">
        <v>817.02</v>
      </c>
      <c r="I100" s="74"/>
      <c r="J100" s="74">
        <v>30892.28</v>
      </c>
    </row>
    <row r="101" spans="1:11" ht="37.799999999999997" outlineLevel="1" x14ac:dyDescent="0.3">
      <c r="A101" s="71">
        <v>45224</v>
      </c>
      <c r="B101" s="71">
        <v>45224</v>
      </c>
      <c r="C101" s="72" t="s">
        <v>425</v>
      </c>
      <c r="D101" s="73" t="s">
        <v>426</v>
      </c>
      <c r="E101" s="72" t="s">
        <v>280</v>
      </c>
      <c r="F101" s="72" t="s">
        <v>298</v>
      </c>
      <c r="G101" s="72" t="s">
        <v>282</v>
      </c>
      <c r="H101" s="74">
        <v>224.92</v>
      </c>
      <c r="I101" s="74"/>
      <c r="J101" s="74">
        <v>42072.05</v>
      </c>
    </row>
    <row r="102" spans="1:11" outlineLevel="1" x14ac:dyDescent="0.3">
      <c r="A102" s="71">
        <v>45126</v>
      </c>
      <c r="B102" s="71">
        <v>45126</v>
      </c>
      <c r="C102" s="72" t="s">
        <v>427</v>
      </c>
      <c r="D102" s="73" t="s">
        <v>428</v>
      </c>
      <c r="E102" s="72" t="s">
        <v>280</v>
      </c>
      <c r="F102" s="72" t="s">
        <v>322</v>
      </c>
      <c r="G102" s="72" t="s">
        <v>282</v>
      </c>
      <c r="H102" s="74">
        <v>49.98</v>
      </c>
      <c r="I102" s="74"/>
      <c r="J102" s="74">
        <v>323.42</v>
      </c>
    </row>
    <row r="103" spans="1:11" outlineLevel="1" x14ac:dyDescent="0.3">
      <c r="A103" s="71">
        <v>45127</v>
      </c>
      <c r="B103" s="71">
        <v>45127</v>
      </c>
      <c r="C103" s="72" t="s">
        <v>429</v>
      </c>
      <c r="D103" s="73" t="s">
        <v>428</v>
      </c>
      <c r="E103" s="72" t="s">
        <v>280</v>
      </c>
      <c r="F103" s="72" t="s">
        <v>322</v>
      </c>
      <c r="G103" s="72" t="s">
        <v>282</v>
      </c>
      <c r="H103" s="74">
        <v>189.34</v>
      </c>
      <c r="I103" s="74"/>
      <c r="J103" s="74">
        <v>666.79</v>
      </c>
    </row>
    <row r="104" spans="1:11" outlineLevel="1" x14ac:dyDescent="0.3">
      <c r="A104" s="71">
        <v>45135</v>
      </c>
      <c r="B104" s="71">
        <v>45135</v>
      </c>
      <c r="C104" s="72" t="s">
        <v>430</v>
      </c>
      <c r="D104" s="73" t="s">
        <v>428</v>
      </c>
      <c r="E104" s="72" t="s">
        <v>280</v>
      </c>
      <c r="F104" s="72" t="s">
        <v>281</v>
      </c>
      <c r="G104" s="72" t="s">
        <v>282</v>
      </c>
      <c r="H104" s="74">
        <v>17.989999999999998</v>
      </c>
      <c r="I104" s="74"/>
      <c r="J104" s="74">
        <v>8340.64</v>
      </c>
    </row>
    <row r="105" spans="1:11" outlineLevel="1" x14ac:dyDescent="0.3">
      <c r="A105" s="71">
        <v>45146</v>
      </c>
      <c r="B105" s="71">
        <v>45146</v>
      </c>
      <c r="C105" s="72" t="s">
        <v>431</v>
      </c>
      <c r="D105" s="73" t="s">
        <v>428</v>
      </c>
      <c r="E105" s="72" t="s">
        <v>280</v>
      </c>
      <c r="F105" s="72" t="s">
        <v>322</v>
      </c>
      <c r="G105" s="72" t="s">
        <v>282</v>
      </c>
      <c r="H105" s="74">
        <v>103.98</v>
      </c>
      <c r="I105" s="74"/>
      <c r="J105" s="74">
        <v>24766.2</v>
      </c>
    </row>
    <row r="106" spans="1:11" outlineLevel="1" x14ac:dyDescent="0.3">
      <c r="A106" s="71">
        <v>45191</v>
      </c>
      <c r="B106" s="71">
        <v>45191</v>
      </c>
      <c r="C106" s="72" t="s">
        <v>432</v>
      </c>
      <c r="D106" s="73" t="s">
        <v>428</v>
      </c>
      <c r="E106" s="72" t="s">
        <v>280</v>
      </c>
      <c r="F106" s="72" t="s">
        <v>322</v>
      </c>
      <c r="G106" s="72" t="s">
        <v>282</v>
      </c>
      <c r="H106" s="74">
        <v>163.58000000000001</v>
      </c>
      <c r="I106" s="74"/>
      <c r="J106" s="74">
        <v>37366.46</v>
      </c>
    </row>
    <row r="107" spans="1:11" outlineLevel="1" x14ac:dyDescent="0.3">
      <c r="A107" s="71">
        <v>45191</v>
      </c>
      <c r="B107" s="71">
        <v>45191</v>
      </c>
      <c r="C107" s="72" t="s">
        <v>433</v>
      </c>
      <c r="D107" s="73" t="s">
        <v>428</v>
      </c>
      <c r="E107" s="72" t="s">
        <v>280</v>
      </c>
      <c r="F107" s="72" t="s">
        <v>322</v>
      </c>
      <c r="G107" s="72" t="s">
        <v>282</v>
      </c>
      <c r="H107" s="74">
        <v>47.84</v>
      </c>
      <c r="I107" s="74"/>
      <c r="J107" s="74">
        <v>37414.300000000003</v>
      </c>
    </row>
    <row r="108" spans="1:11" outlineLevel="1" x14ac:dyDescent="0.3">
      <c r="A108" s="71">
        <v>45197</v>
      </c>
      <c r="B108" s="71">
        <v>45197</v>
      </c>
      <c r="C108" s="72" t="s">
        <v>434</v>
      </c>
      <c r="D108" s="73" t="s">
        <v>428</v>
      </c>
      <c r="E108" s="72" t="s">
        <v>280</v>
      </c>
      <c r="F108" s="72" t="s">
        <v>322</v>
      </c>
      <c r="G108" s="72" t="s">
        <v>282</v>
      </c>
      <c r="H108" s="74">
        <v>37.99</v>
      </c>
      <c r="I108" s="74"/>
      <c r="J108" s="74">
        <v>39566.870000000003</v>
      </c>
    </row>
    <row r="109" spans="1:11" ht="25.2" outlineLevel="1" x14ac:dyDescent="0.3">
      <c r="A109" s="71">
        <v>45238</v>
      </c>
      <c r="B109" s="71">
        <v>45238</v>
      </c>
      <c r="C109" s="72" t="s">
        <v>435</v>
      </c>
      <c r="D109" s="73" t="s">
        <v>436</v>
      </c>
      <c r="E109" s="72" t="s">
        <v>280</v>
      </c>
      <c r="F109" s="72" t="s">
        <v>298</v>
      </c>
      <c r="G109" s="72" t="s">
        <v>282</v>
      </c>
      <c r="H109" s="74">
        <v>52.79</v>
      </c>
      <c r="I109" s="74"/>
      <c r="J109" s="74">
        <v>42623.74</v>
      </c>
    </row>
    <row r="110" spans="1:11" ht="25.2" outlineLevel="1" x14ac:dyDescent="0.3">
      <c r="A110" s="71">
        <v>45197</v>
      </c>
      <c r="B110" s="71">
        <v>45197</v>
      </c>
      <c r="C110" s="72" t="s">
        <v>437</v>
      </c>
      <c r="D110" s="73" t="s">
        <v>438</v>
      </c>
      <c r="E110" s="72" t="s">
        <v>280</v>
      </c>
      <c r="F110" s="72" t="s">
        <v>281</v>
      </c>
      <c r="G110" s="72" t="s">
        <v>282</v>
      </c>
      <c r="H110" s="74">
        <v>43.99</v>
      </c>
      <c r="I110" s="74"/>
      <c r="J110" s="74">
        <v>39528.879999999997</v>
      </c>
    </row>
    <row r="111" spans="1:11" ht="25.2" outlineLevel="1" x14ac:dyDescent="0.3">
      <c r="A111" s="71">
        <v>45155</v>
      </c>
      <c r="B111" s="71">
        <v>45155</v>
      </c>
      <c r="C111" s="72" t="s">
        <v>439</v>
      </c>
      <c r="D111" s="73" t="s">
        <v>440</v>
      </c>
      <c r="E111" s="72" t="s">
        <v>280</v>
      </c>
      <c r="F111" s="72" t="s">
        <v>281</v>
      </c>
      <c r="G111" s="72" t="s">
        <v>282</v>
      </c>
      <c r="H111" s="74">
        <v>504</v>
      </c>
      <c r="I111" s="74"/>
      <c r="J111" s="74">
        <v>25973.06</v>
      </c>
    </row>
    <row r="112" spans="1:11" outlineLevel="1" x14ac:dyDescent="0.3">
      <c r="A112" s="71">
        <v>45167</v>
      </c>
      <c r="B112" s="71">
        <v>45167</v>
      </c>
      <c r="C112" s="72" t="s">
        <v>441</v>
      </c>
      <c r="D112" s="73" t="s">
        <v>442</v>
      </c>
      <c r="E112" s="72" t="s">
        <v>280</v>
      </c>
      <c r="F112" s="72" t="s">
        <v>281</v>
      </c>
      <c r="G112" s="72" t="s">
        <v>282</v>
      </c>
      <c r="H112" s="74">
        <v>504</v>
      </c>
      <c r="I112" s="74"/>
      <c r="J112" s="74">
        <v>28948.43</v>
      </c>
    </row>
    <row r="113" spans="1:10" outlineLevel="1" x14ac:dyDescent="0.3">
      <c r="A113" s="71">
        <v>45176</v>
      </c>
      <c r="B113" s="71">
        <v>45176</v>
      </c>
      <c r="C113" s="72" t="s">
        <v>443</v>
      </c>
      <c r="D113" s="73" t="s">
        <v>442</v>
      </c>
      <c r="E113" s="72" t="s">
        <v>280</v>
      </c>
      <c r="F113" s="72" t="s">
        <v>281</v>
      </c>
      <c r="G113" s="72" t="s">
        <v>282</v>
      </c>
      <c r="H113" s="74">
        <v>504</v>
      </c>
      <c r="I113" s="74"/>
      <c r="J113" s="74">
        <v>30075.26</v>
      </c>
    </row>
    <row r="114" spans="1:10" outlineLevel="1" x14ac:dyDescent="0.3">
      <c r="A114" s="71">
        <v>45196</v>
      </c>
      <c r="B114" s="71">
        <v>45196</v>
      </c>
      <c r="C114" s="72" t="s">
        <v>444</v>
      </c>
      <c r="D114" s="73" t="s">
        <v>442</v>
      </c>
      <c r="E114" s="72" t="s">
        <v>280</v>
      </c>
      <c r="F114" s="72" t="s">
        <v>281</v>
      </c>
      <c r="G114" s="72" t="s">
        <v>282</v>
      </c>
      <c r="H114" s="74">
        <v>300</v>
      </c>
      <c r="I114" s="74"/>
      <c r="J114" s="74">
        <v>38457.519999999997</v>
      </c>
    </row>
    <row r="115" spans="1:10" outlineLevel="1" x14ac:dyDescent="0.3">
      <c r="A115" s="71">
        <v>45260</v>
      </c>
      <c r="B115" s="71">
        <v>45260</v>
      </c>
      <c r="C115" s="72" t="s">
        <v>445</v>
      </c>
      <c r="D115" s="73" t="s">
        <v>442</v>
      </c>
      <c r="E115" s="72" t="s">
        <v>280</v>
      </c>
      <c r="F115" s="72" t="s">
        <v>281</v>
      </c>
      <c r="G115" s="72" t="s">
        <v>282</v>
      </c>
      <c r="H115" s="74">
        <v>300</v>
      </c>
      <c r="I115" s="74"/>
      <c r="J115" s="74">
        <v>45857.14</v>
      </c>
    </row>
    <row r="116" spans="1:10" outlineLevel="1" x14ac:dyDescent="0.3">
      <c r="A116" s="71">
        <v>45270</v>
      </c>
      <c r="B116" s="71">
        <v>45270</v>
      </c>
      <c r="C116" s="72" t="s">
        <v>446</v>
      </c>
      <c r="D116" s="73" t="s">
        <v>442</v>
      </c>
      <c r="E116" s="72" t="s">
        <v>280</v>
      </c>
      <c r="F116" s="72" t="s">
        <v>281</v>
      </c>
      <c r="G116" s="72" t="s">
        <v>282</v>
      </c>
      <c r="H116" s="74">
        <v>400</v>
      </c>
      <c r="I116" s="74"/>
      <c r="J116" s="74">
        <v>46963.6</v>
      </c>
    </row>
    <row r="117" spans="1:10" outlineLevel="1" x14ac:dyDescent="0.3">
      <c r="A117" s="71">
        <v>45321</v>
      </c>
      <c r="B117" s="71">
        <v>45321</v>
      </c>
      <c r="C117" s="72" t="s">
        <v>447</v>
      </c>
      <c r="D117" s="73" t="s">
        <v>442</v>
      </c>
      <c r="E117" s="72" t="s">
        <v>280</v>
      </c>
      <c r="F117" s="72" t="s">
        <v>281</v>
      </c>
      <c r="G117" s="72" t="s">
        <v>282</v>
      </c>
      <c r="H117" s="74">
        <v>350</v>
      </c>
      <c r="I117" s="74"/>
      <c r="J117" s="74">
        <v>53285.99</v>
      </c>
    </row>
    <row r="118" spans="1:10" outlineLevel="1" x14ac:dyDescent="0.3">
      <c r="A118" s="71">
        <v>45350</v>
      </c>
      <c r="B118" s="71">
        <v>45350</v>
      </c>
      <c r="C118" s="72" t="s">
        <v>448</v>
      </c>
      <c r="D118" s="73" t="s">
        <v>442</v>
      </c>
      <c r="E118" s="72" t="s">
        <v>280</v>
      </c>
      <c r="F118" s="72" t="s">
        <v>281</v>
      </c>
      <c r="G118" s="72" t="s">
        <v>282</v>
      </c>
      <c r="H118" s="74">
        <v>400</v>
      </c>
      <c r="I118" s="74"/>
      <c r="J118" s="74">
        <v>54567.519999999997</v>
      </c>
    </row>
    <row r="119" spans="1:10" outlineLevel="1" x14ac:dyDescent="0.3">
      <c r="A119" s="71">
        <v>45295</v>
      </c>
      <c r="B119" s="71">
        <v>45295</v>
      </c>
      <c r="C119" s="72" t="s">
        <v>449</v>
      </c>
      <c r="D119" s="73" t="s">
        <v>450</v>
      </c>
      <c r="E119" s="72" t="s">
        <v>280</v>
      </c>
      <c r="F119" s="72" t="s">
        <v>285</v>
      </c>
      <c r="G119" s="72" t="s">
        <v>282</v>
      </c>
      <c r="H119" s="74">
        <v>221.5</v>
      </c>
      <c r="I119" s="74"/>
      <c r="J119" s="74">
        <v>51415.73</v>
      </c>
    </row>
    <row r="120" spans="1:10" ht="25.2" outlineLevel="1" x14ac:dyDescent="0.3">
      <c r="A120" s="71">
        <v>45239</v>
      </c>
      <c r="B120" s="71">
        <v>45239</v>
      </c>
      <c r="C120" s="72" t="s">
        <v>451</v>
      </c>
      <c r="D120" s="73" t="s">
        <v>452</v>
      </c>
      <c r="E120" s="72" t="s">
        <v>280</v>
      </c>
      <c r="F120" s="72" t="s">
        <v>285</v>
      </c>
      <c r="G120" s="72" t="s">
        <v>282</v>
      </c>
      <c r="H120" s="74">
        <v>154.52000000000001</v>
      </c>
      <c r="I120" s="74"/>
      <c r="J120" s="74">
        <v>42778.26</v>
      </c>
    </row>
    <row r="121" spans="1:10" outlineLevel="1" x14ac:dyDescent="0.3">
      <c r="A121" s="71">
        <v>45233</v>
      </c>
      <c r="B121" s="71">
        <v>45233</v>
      </c>
      <c r="C121" s="72" t="s">
        <v>453</v>
      </c>
      <c r="D121" s="73" t="s">
        <v>454</v>
      </c>
      <c r="E121" s="72" t="s">
        <v>280</v>
      </c>
      <c r="F121" s="72" t="s">
        <v>285</v>
      </c>
      <c r="G121" s="72" t="s">
        <v>282</v>
      </c>
      <c r="H121" s="74">
        <v>67.739999999999995</v>
      </c>
      <c r="I121" s="74"/>
      <c r="J121" s="74">
        <v>42408.34</v>
      </c>
    </row>
    <row r="122" spans="1:10" ht="25.2" outlineLevel="1" x14ac:dyDescent="0.3">
      <c r="A122" s="71">
        <v>45249</v>
      </c>
      <c r="B122" s="71">
        <v>45249</v>
      </c>
      <c r="C122" s="72" t="s">
        <v>455</v>
      </c>
      <c r="D122" s="73" t="s">
        <v>456</v>
      </c>
      <c r="E122" s="72" t="s">
        <v>280</v>
      </c>
      <c r="F122" s="72" t="s">
        <v>322</v>
      </c>
      <c r="G122" s="72" t="s">
        <v>282</v>
      </c>
      <c r="H122" s="74">
        <v>63.94</v>
      </c>
      <c r="I122" s="74"/>
      <c r="J122" s="74">
        <v>45429.35</v>
      </c>
    </row>
    <row r="123" spans="1:10" ht="25.2" outlineLevel="1" x14ac:dyDescent="0.3">
      <c r="A123" s="71">
        <v>45221</v>
      </c>
      <c r="B123" s="71">
        <v>45221</v>
      </c>
      <c r="C123" s="72" t="s">
        <v>457</v>
      </c>
      <c r="D123" s="73" t="s">
        <v>458</v>
      </c>
      <c r="E123" s="72" t="s">
        <v>280</v>
      </c>
      <c r="F123" s="72" t="s">
        <v>322</v>
      </c>
      <c r="G123" s="72" t="s">
        <v>282</v>
      </c>
      <c r="H123" s="74">
        <v>19.96</v>
      </c>
      <c r="I123" s="74"/>
      <c r="J123" s="74">
        <v>41776.32</v>
      </c>
    </row>
    <row r="124" spans="1:10" ht="25.2" outlineLevel="1" x14ac:dyDescent="0.3">
      <c r="A124" s="71">
        <v>45193</v>
      </c>
      <c r="B124" s="71">
        <v>45193</v>
      </c>
      <c r="C124" s="72" t="s">
        <v>459</v>
      </c>
      <c r="D124" s="73" t="s">
        <v>460</v>
      </c>
      <c r="E124" s="72" t="s">
        <v>280</v>
      </c>
      <c r="F124" s="72" t="s">
        <v>322</v>
      </c>
      <c r="G124" s="72" t="s">
        <v>282</v>
      </c>
      <c r="H124" s="74">
        <v>143.94999999999999</v>
      </c>
      <c r="I124" s="74"/>
      <c r="J124" s="74">
        <v>37558.25</v>
      </c>
    </row>
    <row r="125" spans="1:10" outlineLevel="1" x14ac:dyDescent="0.3">
      <c r="A125" s="71">
        <v>45305</v>
      </c>
      <c r="B125" s="71">
        <v>45305</v>
      </c>
      <c r="C125" s="72" t="s">
        <v>461</v>
      </c>
      <c r="D125" s="73" t="s">
        <v>462</v>
      </c>
      <c r="E125" s="72" t="s">
        <v>280</v>
      </c>
      <c r="F125" s="72" t="s">
        <v>322</v>
      </c>
      <c r="G125" s="72" t="s">
        <v>282</v>
      </c>
      <c r="H125" s="74">
        <v>79.930000000000007</v>
      </c>
      <c r="I125" s="74"/>
      <c r="J125" s="74">
        <v>52302.38</v>
      </c>
    </row>
    <row r="126" spans="1:10" outlineLevel="1" x14ac:dyDescent="0.3">
      <c r="A126" s="71">
        <v>45333</v>
      </c>
      <c r="B126" s="71">
        <v>45333</v>
      </c>
      <c r="C126" s="72" t="s">
        <v>463</v>
      </c>
      <c r="D126" s="73" t="s">
        <v>462</v>
      </c>
      <c r="E126" s="72" t="s">
        <v>280</v>
      </c>
      <c r="F126" s="72" t="s">
        <v>322</v>
      </c>
      <c r="G126" s="72" t="s">
        <v>282</v>
      </c>
      <c r="H126" s="74">
        <v>42.94</v>
      </c>
      <c r="I126" s="74"/>
      <c r="J126" s="74">
        <v>53614.53</v>
      </c>
    </row>
    <row r="127" spans="1:10" ht="25.2" outlineLevel="1" x14ac:dyDescent="0.3">
      <c r="A127" s="71">
        <v>45244</v>
      </c>
      <c r="B127" s="71">
        <v>45244</v>
      </c>
      <c r="C127" s="72" t="s">
        <v>464</v>
      </c>
      <c r="D127" s="73" t="s">
        <v>465</v>
      </c>
      <c r="E127" s="72" t="s">
        <v>280</v>
      </c>
      <c r="F127" s="72" t="s">
        <v>285</v>
      </c>
      <c r="G127" s="72" t="s">
        <v>282</v>
      </c>
      <c r="H127" s="74">
        <v>1528.9</v>
      </c>
      <c r="I127" s="74"/>
      <c r="J127" s="74">
        <v>44635.26</v>
      </c>
    </row>
    <row r="128" spans="1:10" ht="25.2" outlineLevel="1" x14ac:dyDescent="0.3">
      <c r="A128" s="71">
        <v>45244</v>
      </c>
      <c r="B128" s="71">
        <v>45244</v>
      </c>
      <c r="C128" s="72" t="s">
        <v>466</v>
      </c>
      <c r="D128" s="73" t="s">
        <v>467</v>
      </c>
      <c r="E128" s="72" t="s">
        <v>280</v>
      </c>
      <c r="F128" s="72" t="s">
        <v>285</v>
      </c>
      <c r="G128" s="72" t="s">
        <v>282</v>
      </c>
      <c r="H128" s="74">
        <v>426.1</v>
      </c>
      <c r="I128" s="74"/>
      <c r="J128" s="74">
        <v>45061.36</v>
      </c>
    </row>
    <row r="129" spans="1:10" ht="25.2" outlineLevel="1" x14ac:dyDescent="0.3">
      <c r="A129" s="71">
        <v>45141</v>
      </c>
      <c r="B129" s="71">
        <v>45141</v>
      </c>
      <c r="C129" s="72" t="s">
        <v>468</v>
      </c>
      <c r="D129" s="73" t="s">
        <v>469</v>
      </c>
      <c r="E129" s="72" t="s">
        <v>280</v>
      </c>
      <c r="F129" s="72" t="s">
        <v>298</v>
      </c>
      <c r="G129" s="72" t="s">
        <v>282</v>
      </c>
      <c r="H129" s="74">
        <v>1955.32</v>
      </c>
      <c r="I129" s="74"/>
      <c r="J129" s="74">
        <v>13876.84</v>
      </c>
    </row>
    <row r="130" spans="1:10" ht="25.2" outlineLevel="1" x14ac:dyDescent="0.3">
      <c r="A130" s="71">
        <v>45259</v>
      </c>
      <c r="B130" s="71">
        <v>45259</v>
      </c>
      <c r="C130" s="72" t="s">
        <v>470</v>
      </c>
      <c r="D130" s="73" t="s">
        <v>471</v>
      </c>
      <c r="E130" s="72" t="s">
        <v>280</v>
      </c>
      <c r="F130" s="72" t="s">
        <v>288</v>
      </c>
      <c r="G130" s="72" t="s">
        <v>282</v>
      </c>
      <c r="H130" s="74">
        <v>116.91</v>
      </c>
      <c r="I130" s="74"/>
      <c r="J130" s="74">
        <v>45546.26</v>
      </c>
    </row>
    <row r="131" spans="1:10" outlineLevel="1" x14ac:dyDescent="0.3">
      <c r="A131" s="71">
        <v>45328</v>
      </c>
      <c r="B131" s="71">
        <v>45328</v>
      </c>
      <c r="C131" s="72" t="s">
        <v>472</v>
      </c>
      <c r="D131" s="73" t="s">
        <v>473</v>
      </c>
      <c r="E131" s="72" t="s">
        <v>280</v>
      </c>
      <c r="F131" s="72" t="s">
        <v>298</v>
      </c>
      <c r="G131" s="72" t="s">
        <v>282</v>
      </c>
      <c r="H131" s="74">
        <v>1.36</v>
      </c>
      <c r="I131" s="74"/>
      <c r="J131" s="74">
        <v>53555.89</v>
      </c>
    </row>
    <row r="132" spans="1:10" ht="25.2" outlineLevel="1" x14ac:dyDescent="0.3">
      <c r="A132" s="71">
        <v>45246</v>
      </c>
      <c r="B132" s="71">
        <v>45246</v>
      </c>
      <c r="C132" s="72" t="s">
        <v>474</v>
      </c>
      <c r="D132" s="73" t="s">
        <v>475</v>
      </c>
      <c r="E132" s="72" t="s">
        <v>280</v>
      </c>
      <c r="F132" s="72" t="s">
        <v>281</v>
      </c>
      <c r="G132" s="72" t="s">
        <v>282</v>
      </c>
      <c r="H132" s="74">
        <v>43.56</v>
      </c>
      <c r="I132" s="74"/>
      <c r="J132" s="74">
        <v>45255.46</v>
      </c>
    </row>
    <row r="133" spans="1:10" outlineLevel="1" x14ac:dyDescent="0.3">
      <c r="A133" s="71">
        <v>45235</v>
      </c>
      <c r="B133" s="71">
        <v>45235</v>
      </c>
      <c r="C133" s="72" t="s">
        <v>476</v>
      </c>
      <c r="D133" s="73" t="s">
        <v>477</v>
      </c>
      <c r="E133" s="72" t="s">
        <v>280</v>
      </c>
      <c r="F133" s="72" t="s">
        <v>285</v>
      </c>
      <c r="G133" s="72" t="s">
        <v>282</v>
      </c>
      <c r="H133" s="74">
        <v>120.77</v>
      </c>
      <c r="I133" s="74"/>
      <c r="J133" s="74">
        <v>42529.11</v>
      </c>
    </row>
    <row r="134" spans="1:10" outlineLevel="1" x14ac:dyDescent="0.3">
      <c r="A134" s="71">
        <v>45265</v>
      </c>
      <c r="B134" s="71">
        <v>45265</v>
      </c>
      <c r="C134" s="72" t="s">
        <v>478</v>
      </c>
      <c r="D134" s="73" t="s">
        <v>479</v>
      </c>
      <c r="E134" s="72" t="s">
        <v>280</v>
      </c>
      <c r="F134" s="72" t="s">
        <v>285</v>
      </c>
      <c r="G134" s="72" t="s">
        <v>282</v>
      </c>
      <c r="H134" s="74">
        <v>39.96</v>
      </c>
      <c r="I134" s="74"/>
      <c r="J134" s="74">
        <v>46536.69</v>
      </c>
    </row>
    <row r="135" spans="1:10" outlineLevel="1" x14ac:dyDescent="0.3">
      <c r="A135" s="71">
        <v>45274</v>
      </c>
      <c r="B135" s="71">
        <v>45274</v>
      </c>
      <c r="C135" s="72" t="s">
        <v>350</v>
      </c>
      <c r="D135" s="73" t="s">
        <v>479</v>
      </c>
      <c r="E135" s="72" t="s">
        <v>280</v>
      </c>
      <c r="F135" s="72" t="s">
        <v>285</v>
      </c>
      <c r="G135" s="72" t="s">
        <v>282</v>
      </c>
      <c r="H135" s="74">
        <v>153.55000000000001</v>
      </c>
      <c r="I135" s="74"/>
      <c r="J135" s="74">
        <v>47131.42</v>
      </c>
    </row>
    <row r="136" spans="1:10" outlineLevel="1" x14ac:dyDescent="0.3">
      <c r="A136" s="71">
        <v>45272</v>
      </c>
      <c r="B136" s="71">
        <v>45272</v>
      </c>
      <c r="C136" s="72" t="s">
        <v>480</v>
      </c>
      <c r="D136" s="73" t="s">
        <v>481</v>
      </c>
      <c r="E136" s="72" t="s">
        <v>280</v>
      </c>
      <c r="F136" s="72" t="s">
        <v>288</v>
      </c>
      <c r="G136" s="72" t="s">
        <v>282</v>
      </c>
      <c r="H136" s="74">
        <v>14.27</v>
      </c>
      <c r="I136" s="74"/>
      <c r="J136" s="74">
        <v>46977.87</v>
      </c>
    </row>
    <row r="137" spans="1:10" outlineLevel="1" x14ac:dyDescent="0.3">
      <c r="A137" s="71">
        <v>45281</v>
      </c>
      <c r="B137" s="71">
        <v>45281</v>
      </c>
      <c r="C137" s="72" t="s">
        <v>482</v>
      </c>
      <c r="D137" s="73" t="s">
        <v>483</v>
      </c>
      <c r="E137" s="72" t="s">
        <v>280</v>
      </c>
      <c r="F137" s="72" t="s">
        <v>288</v>
      </c>
      <c r="G137" s="72" t="s">
        <v>282</v>
      </c>
      <c r="H137" s="74">
        <v>21.4</v>
      </c>
      <c r="I137" s="74"/>
      <c r="J137" s="74">
        <v>47255.53</v>
      </c>
    </row>
    <row r="138" spans="1:10" ht="25.2" outlineLevel="1" x14ac:dyDescent="0.3">
      <c r="A138" s="71">
        <v>45264</v>
      </c>
      <c r="B138" s="71">
        <v>45264</v>
      </c>
      <c r="C138" s="72" t="s">
        <v>484</v>
      </c>
      <c r="D138" s="73" t="s">
        <v>485</v>
      </c>
      <c r="E138" s="72" t="s">
        <v>280</v>
      </c>
      <c r="F138" s="72" t="s">
        <v>288</v>
      </c>
      <c r="G138" s="72" t="s">
        <v>282</v>
      </c>
      <c r="H138" s="74">
        <v>180.09</v>
      </c>
      <c r="I138" s="74"/>
      <c r="J138" s="74">
        <v>46496.73</v>
      </c>
    </row>
    <row r="139" spans="1:10" outlineLevel="1" x14ac:dyDescent="0.3">
      <c r="A139" s="71">
        <v>45196</v>
      </c>
      <c r="B139" s="71">
        <v>45196</v>
      </c>
      <c r="C139" s="72" t="s">
        <v>444</v>
      </c>
      <c r="D139" s="73" t="s">
        <v>486</v>
      </c>
      <c r="E139" s="72" t="s">
        <v>280</v>
      </c>
      <c r="F139" s="72" t="s">
        <v>288</v>
      </c>
      <c r="G139" s="72" t="s">
        <v>282</v>
      </c>
      <c r="H139" s="74">
        <v>10.88</v>
      </c>
      <c r="I139" s="74"/>
      <c r="J139" s="74">
        <v>38157.519999999997</v>
      </c>
    </row>
    <row r="140" spans="1:10" outlineLevel="1" x14ac:dyDescent="0.3">
      <c r="A140" s="71">
        <v>45228</v>
      </c>
      <c r="B140" s="71">
        <v>45228</v>
      </c>
      <c r="C140" s="72" t="s">
        <v>396</v>
      </c>
      <c r="D140" s="73" t="s">
        <v>486</v>
      </c>
      <c r="E140" s="72" t="s">
        <v>280</v>
      </c>
      <c r="F140" s="72" t="s">
        <v>288</v>
      </c>
      <c r="G140" s="72" t="s">
        <v>282</v>
      </c>
      <c r="H140" s="74">
        <v>10.88</v>
      </c>
      <c r="I140" s="74"/>
      <c r="J140" s="74">
        <v>42232.53</v>
      </c>
    </row>
    <row r="141" spans="1:10" outlineLevel="1" x14ac:dyDescent="0.3">
      <c r="A141" s="71">
        <v>45259</v>
      </c>
      <c r="B141" s="71">
        <v>45259</v>
      </c>
      <c r="C141" s="72" t="s">
        <v>470</v>
      </c>
      <c r="D141" s="73" t="s">
        <v>486</v>
      </c>
      <c r="E141" s="72" t="s">
        <v>280</v>
      </c>
      <c r="F141" s="72" t="s">
        <v>288</v>
      </c>
      <c r="G141" s="72" t="s">
        <v>282</v>
      </c>
      <c r="H141" s="74">
        <v>10.88</v>
      </c>
      <c r="I141" s="74"/>
      <c r="J141" s="74">
        <v>45557.14</v>
      </c>
    </row>
    <row r="142" spans="1:10" outlineLevel="1" x14ac:dyDescent="0.3">
      <c r="A142" s="71">
        <v>45291</v>
      </c>
      <c r="B142" s="71">
        <v>45291</v>
      </c>
      <c r="C142" s="72" t="s">
        <v>487</v>
      </c>
      <c r="D142" s="73" t="s">
        <v>486</v>
      </c>
      <c r="E142" s="72" t="s">
        <v>280</v>
      </c>
      <c r="F142" s="72" t="s">
        <v>288</v>
      </c>
      <c r="G142" s="72" t="s">
        <v>282</v>
      </c>
      <c r="H142" s="74">
        <v>10.88</v>
      </c>
      <c r="I142" s="74"/>
      <c r="J142" s="74">
        <v>47427.24</v>
      </c>
    </row>
    <row r="143" spans="1:10" outlineLevel="1" x14ac:dyDescent="0.3">
      <c r="A143" s="71">
        <v>45298</v>
      </c>
      <c r="B143" s="71">
        <v>45298</v>
      </c>
      <c r="C143" s="72" t="s">
        <v>488</v>
      </c>
      <c r="D143" s="73" t="s">
        <v>486</v>
      </c>
      <c r="E143" s="72" t="s">
        <v>280</v>
      </c>
      <c r="F143" s="72" t="s">
        <v>288</v>
      </c>
      <c r="G143" s="72" t="s">
        <v>282</v>
      </c>
      <c r="H143" s="74">
        <v>96.92</v>
      </c>
      <c r="I143" s="74"/>
      <c r="J143" s="74">
        <v>51512.65</v>
      </c>
    </row>
    <row r="144" spans="1:10" outlineLevel="1" x14ac:dyDescent="0.3">
      <c r="A144" s="71">
        <v>45322</v>
      </c>
      <c r="B144" s="71">
        <v>45322</v>
      </c>
      <c r="C144" s="72" t="s">
        <v>286</v>
      </c>
      <c r="D144" s="73" t="s">
        <v>486</v>
      </c>
      <c r="E144" s="72" t="s">
        <v>280</v>
      </c>
      <c r="F144" s="72" t="s">
        <v>288</v>
      </c>
      <c r="G144" s="72" t="s">
        <v>282</v>
      </c>
      <c r="H144" s="74">
        <v>10.88</v>
      </c>
      <c r="I144" s="74"/>
      <c r="J144" s="74">
        <v>53296.87</v>
      </c>
    </row>
    <row r="145" spans="1:10" outlineLevel="1" x14ac:dyDescent="0.3">
      <c r="A145" s="71">
        <v>45326</v>
      </c>
      <c r="B145" s="71">
        <v>45326</v>
      </c>
      <c r="C145" s="72" t="s">
        <v>352</v>
      </c>
      <c r="D145" s="73" t="s">
        <v>489</v>
      </c>
      <c r="E145" s="72" t="s">
        <v>280</v>
      </c>
      <c r="F145" s="72" t="s">
        <v>288</v>
      </c>
      <c r="G145" s="72" t="s">
        <v>282</v>
      </c>
      <c r="H145" s="74">
        <v>56.4</v>
      </c>
      <c r="I145" s="74"/>
      <c r="J145" s="74">
        <v>53494.81</v>
      </c>
    </row>
    <row r="146" spans="1:10" outlineLevel="1" x14ac:dyDescent="0.3">
      <c r="A146" s="71">
        <v>45333</v>
      </c>
      <c r="B146" s="71">
        <v>45333</v>
      </c>
      <c r="C146" s="72" t="s">
        <v>351</v>
      </c>
      <c r="D146" s="73" t="s">
        <v>489</v>
      </c>
      <c r="E146" s="72" t="s">
        <v>280</v>
      </c>
      <c r="F146" s="72" t="s">
        <v>288</v>
      </c>
      <c r="G146" s="72" t="s">
        <v>282</v>
      </c>
      <c r="H146" s="74">
        <v>26.69</v>
      </c>
      <c r="I146" s="74"/>
      <c r="J146" s="74">
        <v>53641.22</v>
      </c>
    </row>
    <row r="147" spans="1:10" outlineLevel="1" x14ac:dyDescent="0.3">
      <c r="A147" s="71">
        <v>45333</v>
      </c>
      <c r="B147" s="71">
        <v>45333</v>
      </c>
      <c r="C147" s="72" t="s">
        <v>490</v>
      </c>
      <c r="D147" s="73" t="s">
        <v>489</v>
      </c>
      <c r="E147" s="72" t="s">
        <v>280</v>
      </c>
      <c r="F147" s="72" t="s">
        <v>288</v>
      </c>
      <c r="G147" s="72" t="s">
        <v>282</v>
      </c>
      <c r="H147" s="74">
        <v>251</v>
      </c>
      <c r="I147" s="74"/>
      <c r="J147" s="74">
        <v>53943.16</v>
      </c>
    </row>
    <row r="148" spans="1:10" outlineLevel="1" x14ac:dyDescent="0.3">
      <c r="A148" s="71">
        <v>45336</v>
      </c>
      <c r="B148" s="71">
        <v>45336</v>
      </c>
      <c r="C148" s="72" t="s">
        <v>292</v>
      </c>
      <c r="D148" s="73" t="s">
        <v>489</v>
      </c>
      <c r="E148" s="72" t="s">
        <v>280</v>
      </c>
      <c r="F148" s="72" t="s">
        <v>288</v>
      </c>
      <c r="G148" s="72" t="s">
        <v>282</v>
      </c>
      <c r="H148" s="74">
        <v>74</v>
      </c>
      <c r="I148" s="74"/>
      <c r="J148" s="74">
        <v>54017.16</v>
      </c>
    </row>
    <row r="149" spans="1:10" outlineLevel="1" x14ac:dyDescent="0.3">
      <c r="A149" s="71">
        <v>45336</v>
      </c>
      <c r="B149" s="71">
        <v>45336</v>
      </c>
      <c r="C149" s="72" t="s">
        <v>491</v>
      </c>
      <c r="D149" s="73" t="s">
        <v>489</v>
      </c>
      <c r="E149" s="72" t="s">
        <v>280</v>
      </c>
      <c r="F149" s="72" t="s">
        <v>288</v>
      </c>
      <c r="G149" s="72" t="s">
        <v>282</v>
      </c>
      <c r="H149" s="74">
        <v>17.34</v>
      </c>
      <c r="I149" s="74"/>
      <c r="J149" s="74">
        <v>54167.519999999997</v>
      </c>
    </row>
    <row r="150" spans="1:10" outlineLevel="1" x14ac:dyDescent="0.3">
      <c r="A150" s="71">
        <v>45137</v>
      </c>
      <c r="B150" s="71">
        <v>45137</v>
      </c>
      <c r="C150" s="72" t="s">
        <v>328</v>
      </c>
      <c r="D150" s="73" t="s">
        <v>492</v>
      </c>
      <c r="E150" s="72" t="s">
        <v>280</v>
      </c>
      <c r="F150" s="72" t="s">
        <v>288</v>
      </c>
      <c r="G150" s="72" t="s">
        <v>282</v>
      </c>
      <c r="H150" s="74">
        <v>72.88</v>
      </c>
      <c r="I150" s="74"/>
      <c r="J150" s="74">
        <v>9353.4500000000007</v>
      </c>
    </row>
    <row r="151" spans="1:10" ht="25.2" outlineLevel="1" x14ac:dyDescent="0.3">
      <c r="A151" s="71">
        <v>45242</v>
      </c>
      <c r="B151" s="71">
        <v>45242</v>
      </c>
      <c r="C151" s="72" t="s">
        <v>493</v>
      </c>
      <c r="D151" s="73" t="s">
        <v>494</v>
      </c>
      <c r="E151" s="72" t="s">
        <v>280</v>
      </c>
      <c r="F151" s="72" t="s">
        <v>288</v>
      </c>
      <c r="G151" s="72" t="s">
        <v>282</v>
      </c>
      <c r="H151" s="74">
        <v>35.24</v>
      </c>
      <c r="I151" s="74"/>
      <c r="J151" s="74">
        <v>42910.05</v>
      </c>
    </row>
    <row r="152" spans="1:10" ht="25.2" outlineLevel="1" x14ac:dyDescent="0.3">
      <c r="A152" s="71">
        <v>45165</v>
      </c>
      <c r="B152" s="71">
        <v>45165</v>
      </c>
      <c r="C152" s="72" t="s">
        <v>387</v>
      </c>
      <c r="D152" s="73" t="s">
        <v>495</v>
      </c>
      <c r="E152" s="72" t="s">
        <v>280</v>
      </c>
      <c r="F152" s="72" t="s">
        <v>288</v>
      </c>
      <c r="G152" s="72" t="s">
        <v>282</v>
      </c>
      <c r="H152" s="74">
        <v>186.92</v>
      </c>
      <c r="I152" s="74"/>
      <c r="J152" s="74">
        <v>28263.599999999999</v>
      </c>
    </row>
    <row r="153" spans="1:10" outlineLevel="1" x14ac:dyDescent="0.3">
      <c r="A153" s="71">
        <v>45232</v>
      </c>
      <c r="B153" s="71">
        <v>45232</v>
      </c>
      <c r="C153" s="72" t="s">
        <v>496</v>
      </c>
      <c r="D153" s="73" t="s">
        <v>497</v>
      </c>
      <c r="E153" s="72" t="s">
        <v>280</v>
      </c>
      <c r="F153" s="72" t="s">
        <v>285</v>
      </c>
      <c r="G153" s="72" t="s">
        <v>282</v>
      </c>
      <c r="H153" s="74">
        <v>60.74</v>
      </c>
      <c r="I153" s="74"/>
      <c r="J153" s="74">
        <v>42340.6</v>
      </c>
    </row>
    <row r="154" spans="1:10" outlineLevel="1" x14ac:dyDescent="0.3">
      <c r="A154" s="71">
        <v>45242</v>
      </c>
      <c r="B154" s="71">
        <v>45242</v>
      </c>
      <c r="C154" s="72" t="s">
        <v>493</v>
      </c>
      <c r="D154" s="73" t="s">
        <v>498</v>
      </c>
      <c r="E154" s="72" t="s">
        <v>280</v>
      </c>
      <c r="F154" s="72" t="s">
        <v>281</v>
      </c>
      <c r="G154" s="72" t="s">
        <v>282</v>
      </c>
      <c r="H154" s="74">
        <v>196.31</v>
      </c>
      <c r="I154" s="74"/>
      <c r="J154" s="74">
        <v>43106.36</v>
      </c>
    </row>
    <row r="155" spans="1:10" outlineLevel="1" x14ac:dyDescent="0.3">
      <c r="A155" s="71">
        <v>45281</v>
      </c>
      <c r="B155" s="71">
        <v>45281</v>
      </c>
      <c r="C155" s="72" t="s">
        <v>482</v>
      </c>
      <c r="D155" s="73" t="s">
        <v>499</v>
      </c>
      <c r="E155" s="72" t="s">
        <v>280</v>
      </c>
      <c r="F155" s="72" t="s">
        <v>285</v>
      </c>
      <c r="G155" s="72" t="s">
        <v>282</v>
      </c>
      <c r="H155" s="74">
        <v>11.75</v>
      </c>
      <c r="I155" s="74"/>
      <c r="J155" s="74">
        <v>47212.77</v>
      </c>
    </row>
    <row r="156" spans="1:10" ht="25.2" outlineLevel="1" x14ac:dyDescent="0.3">
      <c r="A156" s="71">
        <v>45298</v>
      </c>
      <c r="B156" s="71">
        <v>45298</v>
      </c>
      <c r="C156" s="72" t="s">
        <v>500</v>
      </c>
      <c r="D156" s="73" t="s">
        <v>501</v>
      </c>
      <c r="E156" s="72" t="s">
        <v>280</v>
      </c>
      <c r="F156" s="72" t="s">
        <v>285</v>
      </c>
      <c r="G156" s="72" t="s">
        <v>282</v>
      </c>
      <c r="H156" s="74">
        <v>159.49</v>
      </c>
      <c r="I156" s="74"/>
      <c r="J156" s="74">
        <v>51672.14</v>
      </c>
    </row>
    <row r="157" spans="1:10" outlineLevel="1" x14ac:dyDescent="0.3">
      <c r="A157" s="71">
        <v>45281</v>
      </c>
      <c r="B157" s="71">
        <v>45281</v>
      </c>
      <c r="C157" s="72" t="s">
        <v>482</v>
      </c>
      <c r="D157" s="73" t="s">
        <v>502</v>
      </c>
      <c r="E157" s="72" t="s">
        <v>280</v>
      </c>
      <c r="F157" s="72" t="s">
        <v>288</v>
      </c>
      <c r="G157" s="72" t="s">
        <v>282</v>
      </c>
      <c r="H157" s="74">
        <v>21.36</v>
      </c>
      <c r="I157" s="74"/>
      <c r="J157" s="74">
        <v>47234.13</v>
      </c>
    </row>
    <row r="158" spans="1:10" outlineLevel="1" x14ac:dyDescent="0.3">
      <c r="A158" s="71">
        <v>45299</v>
      </c>
      <c r="B158" s="71">
        <v>45299</v>
      </c>
      <c r="C158" s="72" t="s">
        <v>503</v>
      </c>
      <c r="D158" s="73" t="s">
        <v>504</v>
      </c>
      <c r="E158" s="72" t="s">
        <v>280</v>
      </c>
      <c r="F158" s="72" t="s">
        <v>288</v>
      </c>
      <c r="G158" s="72" t="s">
        <v>282</v>
      </c>
      <c r="H158" s="74">
        <v>326.76</v>
      </c>
      <c r="I158" s="74"/>
      <c r="J158" s="74">
        <v>51998.9</v>
      </c>
    </row>
    <row r="159" spans="1:10" outlineLevel="1" x14ac:dyDescent="0.3">
      <c r="A159" s="71">
        <v>45294</v>
      </c>
      <c r="B159" s="71">
        <v>45294</v>
      </c>
      <c r="C159" s="72" t="s">
        <v>505</v>
      </c>
      <c r="D159" s="73" t="s">
        <v>506</v>
      </c>
      <c r="E159" s="72" t="s">
        <v>280</v>
      </c>
      <c r="F159" s="72" t="s">
        <v>288</v>
      </c>
      <c r="G159" s="72" t="s">
        <v>282</v>
      </c>
      <c r="H159" s="74">
        <v>28</v>
      </c>
      <c r="I159" s="74"/>
      <c r="J159" s="74">
        <v>47455.24</v>
      </c>
    </row>
    <row r="160" spans="1:10" ht="25.2" outlineLevel="1" x14ac:dyDescent="0.3">
      <c r="A160" s="71">
        <v>45246</v>
      </c>
      <c r="B160" s="71">
        <v>45246</v>
      </c>
      <c r="C160" s="72" t="s">
        <v>474</v>
      </c>
      <c r="D160" s="73" t="s">
        <v>507</v>
      </c>
      <c r="E160" s="72" t="s">
        <v>280</v>
      </c>
      <c r="F160" s="72" t="s">
        <v>281</v>
      </c>
      <c r="G160" s="72" t="s">
        <v>282</v>
      </c>
      <c r="H160" s="74">
        <v>87.84</v>
      </c>
      <c r="I160" s="74"/>
      <c r="J160" s="74">
        <v>45211.9</v>
      </c>
    </row>
    <row r="161" spans="1:11" outlineLevel="1" x14ac:dyDescent="0.3">
      <c r="A161" s="71">
        <v>45247</v>
      </c>
      <c r="B161" s="71">
        <v>45247</v>
      </c>
      <c r="C161" s="72" t="s">
        <v>508</v>
      </c>
      <c r="D161" s="73" t="s">
        <v>509</v>
      </c>
      <c r="E161" s="72" t="s">
        <v>280</v>
      </c>
      <c r="F161" s="72" t="s">
        <v>281</v>
      </c>
      <c r="G161" s="72" t="s">
        <v>282</v>
      </c>
      <c r="H161" s="74">
        <v>109.95</v>
      </c>
      <c r="I161" s="74"/>
      <c r="J161" s="74">
        <v>45365.41</v>
      </c>
    </row>
    <row r="162" spans="1:11" outlineLevel="1" x14ac:dyDescent="0.3">
      <c r="A162" s="71">
        <v>45275</v>
      </c>
      <c r="B162" s="71">
        <v>45275</v>
      </c>
      <c r="C162" s="72" t="s">
        <v>510</v>
      </c>
      <c r="D162" s="73" t="s">
        <v>509</v>
      </c>
      <c r="E162" s="72" t="s">
        <v>280</v>
      </c>
      <c r="F162" s="72" t="s">
        <v>281</v>
      </c>
      <c r="G162" s="72" t="s">
        <v>282</v>
      </c>
      <c r="H162" s="74">
        <v>41.42</v>
      </c>
      <c r="I162" s="74"/>
      <c r="J162" s="74">
        <v>47201.02</v>
      </c>
    </row>
    <row r="163" spans="1:11" outlineLevel="1" x14ac:dyDescent="0.3">
      <c r="A163" s="71">
        <v>45281</v>
      </c>
      <c r="B163" s="71">
        <v>45281</v>
      </c>
      <c r="C163" s="72" t="s">
        <v>482</v>
      </c>
      <c r="D163" s="73" t="s">
        <v>509</v>
      </c>
      <c r="E163" s="72" t="s">
        <v>280</v>
      </c>
      <c r="F163" s="72" t="s">
        <v>281</v>
      </c>
      <c r="G163" s="72" t="s">
        <v>282</v>
      </c>
      <c r="H163" s="74">
        <v>160.83000000000001</v>
      </c>
      <c r="I163" s="74"/>
      <c r="J163" s="74">
        <v>47416.36</v>
      </c>
    </row>
    <row r="164" spans="1:11" ht="25.2" outlineLevel="1" x14ac:dyDescent="0.3">
      <c r="A164" s="71">
        <v>45328</v>
      </c>
      <c r="B164" s="71">
        <v>45328</v>
      </c>
      <c r="C164" s="72" t="s">
        <v>472</v>
      </c>
      <c r="D164" s="73" t="s">
        <v>511</v>
      </c>
      <c r="E164" s="72" t="s">
        <v>280</v>
      </c>
      <c r="F164" s="72" t="s">
        <v>298</v>
      </c>
      <c r="G164" s="72" t="s">
        <v>282</v>
      </c>
      <c r="H164" s="74">
        <v>43.58</v>
      </c>
      <c r="I164" s="74"/>
      <c r="J164" s="74">
        <v>53554.53</v>
      </c>
    </row>
    <row r="165" spans="1:11" ht="25.2" outlineLevel="1" x14ac:dyDescent="0.3">
      <c r="A165" s="71">
        <v>45246</v>
      </c>
      <c r="B165" s="71">
        <v>45246</v>
      </c>
      <c r="C165" s="72" t="s">
        <v>512</v>
      </c>
      <c r="D165" s="73" t="s">
        <v>513</v>
      </c>
      <c r="E165" s="72" t="s">
        <v>280</v>
      </c>
      <c r="F165" s="72" t="s">
        <v>288</v>
      </c>
      <c r="G165" s="72" t="s">
        <v>282</v>
      </c>
      <c r="H165" s="74">
        <v>62.7</v>
      </c>
      <c r="I165" s="74"/>
      <c r="J165" s="74">
        <v>45124.06</v>
      </c>
    </row>
    <row r="166" spans="1:11" ht="25.2" outlineLevel="1" x14ac:dyDescent="0.3">
      <c r="A166" s="71">
        <v>45161</v>
      </c>
      <c r="B166" s="71">
        <v>45161</v>
      </c>
      <c r="C166" s="72"/>
      <c r="D166" s="73" t="s">
        <v>514</v>
      </c>
      <c r="E166" s="72" t="s">
        <v>280</v>
      </c>
      <c r="F166" s="72" t="s">
        <v>288</v>
      </c>
      <c r="G166" s="72" t="s">
        <v>403</v>
      </c>
      <c r="H166" s="74"/>
      <c r="I166" s="74">
        <v>186.92</v>
      </c>
      <c r="J166" s="74">
        <v>27930.38</v>
      </c>
    </row>
    <row r="167" spans="1:11" outlineLevel="1" x14ac:dyDescent="0.3">
      <c r="A167" s="71">
        <v>45138</v>
      </c>
      <c r="B167" s="71">
        <v>45138</v>
      </c>
      <c r="C167" s="72"/>
      <c r="D167" s="73" t="s">
        <v>515</v>
      </c>
      <c r="E167" s="72" t="s">
        <v>280</v>
      </c>
      <c r="F167" s="72" t="s">
        <v>298</v>
      </c>
      <c r="G167" s="72" t="s">
        <v>516</v>
      </c>
      <c r="H167" s="74"/>
      <c r="I167" s="74">
        <v>1001.76</v>
      </c>
      <c r="J167" s="74">
        <v>11174.36</v>
      </c>
    </row>
    <row r="168" spans="1:11" outlineLevel="1" x14ac:dyDescent="0.3">
      <c r="A168" s="71">
        <v>45203</v>
      </c>
      <c r="B168" s="71">
        <v>45203</v>
      </c>
      <c r="C168" s="72"/>
      <c r="D168" s="73" t="s">
        <v>517</v>
      </c>
      <c r="E168" s="72" t="s">
        <v>280</v>
      </c>
      <c r="F168" s="72" t="s">
        <v>322</v>
      </c>
      <c r="G168" s="72" t="s">
        <v>403</v>
      </c>
      <c r="H168" s="74"/>
      <c r="I168" s="74">
        <v>27.1</v>
      </c>
      <c r="J168" s="74">
        <v>39539.769999999997</v>
      </c>
    </row>
    <row r="169" spans="1:11" outlineLevel="1" x14ac:dyDescent="0.3">
      <c r="A169" s="71"/>
      <c r="B169" s="71"/>
      <c r="C169" s="72"/>
      <c r="D169" s="73"/>
      <c r="E169" s="72"/>
      <c r="F169" s="72"/>
      <c r="G169" s="72"/>
      <c r="H169" s="74">
        <f>SUBTOTAL(9,H6:H168)</f>
        <v>56720.679999999957</v>
      </c>
      <c r="I169" s="74">
        <f>SUBTOTAL(9,I6:I168)</f>
        <v>1284.1499999999999</v>
      </c>
      <c r="J169" s="74"/>
      <c r="K169" s="75" t="s">
        <v>521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02F56-37DD-41A4-9199-C0E2BD7BB47C}">
  <dimension ref="A1:N60"/>
  <sheetViews>
    <sheetView topLeftCell="A32" workbookViewId="0">
      <selection activeCell="F65" sqref="F65"/>
    </sheetView>
  </sheetViews>
  <sheetFormatPr defaultRowHeight="13.2" x14ac:dyDescent="0.25"/>
  <cols>
    <col min="1" max="1" width="26.6640625" bestFit="1" customWidth="1"/>
    <col min="2" max="2" width="19.6640625" customWidth="1"/>
    <col min="3" max="3" width="39" customWidth="1"/>
    <col min="4" max="4" width="29.109375" style="17" customWidth="1"/>
    <col min="5" max="5" width="7.5546875" bestFit="1" customWidth="1"/>
    <col min="6" max="6" width="18.44140625" customWidth="1"/>
    <col min="7" max="7" width="12.77734375" style="17" customWidth="1"/>
    <col min="8" max="8" width="15.44140625" style="17" customWidth="1"/>
    <col min="9" max="10" width="13" style="17" customWidth="1"/>
    <col min="11" max="11" width="19.33203125" style="17" customWidth="1"/>
    <col min="12" max="12" width="12.6640625" style="17" bestFit="1" customWidth="1"/>
    <col min="13" max="13" width="21.88671875" bestFit="1" customWidth="1"/>
  </cols>
  <sheetData>
    <row r="1" spans="1:14" ht="14.4" x14ac:dyDescent="0.3">
      <c r="F1" s="84" t="s">
        <v>116</v>
      </c>
      <c r="G1" s="84"/>
      <c r="H1" s="84"/>
      <c r="I1" s="84"/>
      <c r="J1" s="84"/>
      <c r="K1" s="84"/>
      <c r="L1" s="84"/>
      <c r="M1" s="84"/>
    </row>
    <row r="2" spans="1:14" ht="14.4" x14ac:dyDescent="0.3">
      <c r="A2" s="18" t="s">
        <v>117</v>
      </c>
      <c r="B2" s="18" t="s">
        <v>118</v>
      </c>
      <c r="C2" s="18" t="s">
        <v>119</v>
      </c>
      <c r="D2" s="19" t="s">
        <v>120</v>
      </c>
      <c r="E2" s="18"/>
      <c r="F2" s="18" t="s">
        <v>121</v>
      </c>
      <c r="G2" s="19" t="s">
        <v>122</v>
      </c>
      <c r="H2" s="20" t="s">
        <v>123</v>
      </c>
      <c r="I2" s="20" t="s">
        <v>124</v>
      </c>
      <c r="J2" s="20" t="s">
        <v>125</v>
      </c>
      <c r="K2" s="20" t="s">
        <v>126</v>
      </c>
      <c r="L2" s="20" t="s">
        <v>127</v>
      </c>
      <c r="M2" s="20" t="s">
        <v>128</v>
      </c>
    </row>
    <row r="3" spans="1:14" ht="14.4" x14ac:dyDescent="0.3">
      <c r="A3" s="21" t="s">
        <v>129</v>
      </c>
      <c r="B3" s="21" t="s">
        <v>130</v>
      </c>
      <c r="C3" s="21" t="s">
        <v>131</v>
      </c>
      <c r="D3" s="22">
        <f>2451.13*26</f>
        <v>63729.380000000005</v>
      </c>
      <c r="E3" s="23"/>
      <c r="F3" s="23">
        <v>63092</v>
      </c>
      <c r="G3" s="22">
        <f>5.28*12</f>
        <v>63.36</v>
      </c>
      <c r="H3" s="17">
        <f t="shared" ref="H3:H16" si="0">F3*0.2078</f>
        <v>13110.517600000001</v>
      </c>
      <c r="I3" s="17">
        <f>F3*0.0765</f>
        <v>4826.5379999999996</v>
      </c>
      <c r="J3" s="17">
        <f>F3*0.0378</f>
        <v>2384.8775999999998</v>
      </c>
      <c r="K3" s="17">
        <f>F3*0.0224</f>
        <v>1413.2608</v>
      </c>
      <c r="L3" s="17">
        <f t="shared" ref="L3:L16" si="1">SUM(F3:K3)</f>
        <v>84890.554000000018</v>
      </c>
      <c r="M3" s="24" t="s">
        <v>132</v>
      </c>
    </row>
    <row r="4" spans="1:14" ht="14.4" x14ac:dyDescent="0.3">
      <c r="A4" s="21" t="s">
        <v>135</v>
      </c>
      <c r="B4" s="21" t="s">
        <v>130</v>
      </c>
      <c r="C4" s="21" t="s">
        <v>131</v>
      </c>
      <c r="D4" s="22">
        <f>2010.29*26</f>
        <v>52267.54</v>
      </c>
      <c r="E4" s="23"/>
      <c r="F4" s="30">
        <v>58082</v>
      </c>
      <c r="G4" s="22">
        <f>430.9*12</f>
        <v>5170.7999999999993</v>
      </c>
      <c r="H4" s="17">
        <f t="shared" si="0"/>
        <v>12069.439600000002</v>
      </c>
      <c r="I4" s="17">
        <f t="shared" ref="I4:I16" si="2">F4*0.0765</f>
        <v>4443.2730000000001</v>
      </c>
      <c r="J4" s="17">
        <f t="shared" ref="J4:J16" si="3">F4*0.0378</f>
        <v>2195.4996000000001</v>
      </c>
      <c r="K4" s="17">
        <f t="shared" ref="K4:K16" si="4">F4*0.0224</f>
        <v>1301.0368000000001</v>
      </c>
      <c r="L4" s="17">
        <f t="shared" si="1"/>
        <v>83262.048999999999</v>
      </c>
      <c r="M4" s="24" t="s">
        <v>136</v>
      </c>
    </row>
    <row r="5" spans="1:14" ht="14.4" x14ac:dyDescent="0.3">
      <c r="A5" s="21" t="s">
        <v>138</v>
      </c>
      <c r="B5" s="21" t="s">
        <v>130</v>
      </c>
      <c r="C5" s="21" t="s">
        <v>131</v>
      </c>
      <c r="D5" s="22">
        <f>2541.67*26</f>
        <v>66083.42</v>
      </c>
      <c r="E5" s="23"/>
      <c r="F5" s="30">
        <v>66261</v>
      </c>
      <c r="G5" s="22">
        <f>455.28*12</f>
        <v>5463.36</v>
      </c>
      <c r="H5" s="17">
        <f t="shared" si="0"/>
        <v>13769.035800000001</v>
      </c>
      <c r="I5" s="17">
        <f t="shared" si="2"/>
        <v>5068.9664999999995</v>
      </c>
      <c r="J5" s="17">
        <f t="shared" si="3"/>
        <v>2504.6658000000002</v>
      </c>
      <c r="K5" s="17">
        <f t="shared" si="4"/>
        <v>1484.2464</v>
      </c>
      <c r="L5" s="17">
        <f t="shared" si="1"/>
        <v>94551.2745</v>
      </c>
    </row>
    <row r="6" spans="1:14" ht="14.4" x14ac:dyDescent="0.3">
      <c r="A6" s="21" t="s">
        <v>139</v>
      </c>
      <c r="B6" s="21" t="s">
        <v>130</v>
      </c>
      <c r="C6" s="21" t="s">
        <v>131</v>
      </c>
      <c r="D6" s="22">
        <f>2386.13*26</f>
        <v>62039.380000000005</v>
      </c>
      <c r="E6" s="23"/>
      <c r="F6" s="30">
        <v>61597</v>
      </c>
      <c r="G6" s="22">
        <f>430.9*12</f>
        <v>5170.7999999999993</v>
      </c>
      <c r="H6" s="17">
        <f t="shared" si="0"/>
        <v>12799.856600000001</v>
      </c>
      <c r="I6" s="17">
        <f t="shared" si="2"/>
        <v>4712.1705000000002</v>
      </c>
      <c r="J6" s="17">
        <f t="shared" si="3"/>
        <v>2328.3665999999998</v>
      </c>
      <c r="K6" s="17">
        <f t="shared" si="4"/>
        <v>1379.7728</v>
      </c>
      <c r="L6" s="17">
        <f t="shared" si="1"/>
        <v>87987.966499999995</v>
      </c>
    </row>
    <row r="7" spans="1:14" ht="14.4" x14ac:dyDescent="0.3">
      <c r="A7" s="21" t="s">
        <v>140</v>
      </c>
      <c r="B7" s="21" t="s">
        <v>130</v>
      </c>
      <c r="C7" s="21" t="s">
        <v>214</v>
      </c>
      <c r="D7" s="22">
        <f>1886.21*26</f>
        <v>49041.46</v>
      </c>
      <c r="E7" s="23"/>
      <c r="F7" s="30">
        <v>50337</v>
      </c>
      <c r="G7" s="22">
        <f>455.28*12</f>
        <v>5463.36</v>
      </c>
      <c r="H7" s="17">
        <f t="shared" si="0"/>
        <v>10460.028600000001</v>
      </c>
      <c r="I7" s="17">
        <f t="shared" si="2"/>
        <v>3850.7804999999998</v>
      </c>
      <c r="J7" s="17">
        <f t="shared" si="3"/>
        <v>1902.7385999999999</v>
      </c>
      <c r="K7" s="17">
        <f t="shared" si="4"/>
        <v>1127.5488</v>
      </c>
      <c r="L7" s="17">
        <f t="shared" si="1"/>
        <v>73141.4565</v>
      </c>
    </row>
    <row r="8" spans="1:14" ht="14.4" x14ac:dyDescent="0.3">
      <c r="A8" s="21" t="s">
        <v>141</v>
      </c>
      <c r="B8" s="21" t="s">
        <v>130</v>
      </c>
      <c r="C8" s="21" t="s">
        <v>131</v>
      </c>
      <c r="D8" s="22">
        <f>2010.29*26</f>
        <v>52267.54</v>
      </c>
      <c r="E8" s="23"/>
      <c r="F8" s="30">
        <v>50337</v>
      </c>
      <c r="G8" s="22">
        <f>5.28*12</f>
        <v>63.36</v>
      </c>
      <c r="H8" s="17">
        <f t="shared" si="0"/>
        <v>10460.028600000001</v>
      </c>
      <c r="I8" s="17">
        <f t="shared" si="2"/>
        <v>3850.7804999999998</v>
      </c>
      <c r="J8" s="17">
        <f t="shared" si="3"/>
        <v>1902.7385999999999</v>
      </c>
      <c r="K8" s="17">
        <f t="shared" si="4"/>
        <v>1127.5488</v>
      </c>
      <c r="L8" s="17">
        <f t="shared" si="1"/>
        <v>67741.456500000015</v>
      </c>
    </row>
    <row r="9" spans="1:14" ht="14.4" x14ac:dyDescent="0.3">
      <c r="A9" s="21" t="s">
        <v>142</v>
      </c>
      <c r="B9" s="21" t="s">
        <v>130</v>
      </c>
      <c r="C9" s="21" t="s">
        <v>131</v>
      </c>
      <c r="D9" s="22">
        <f>1886.21*26</f>
        <v>49041.46</v>
      </c>
      <c r="E9" s="23"/>
      <c r="F9" s="30">
        <v>51293</v>
      </c>
      <c r="G9" s="22">
        <f>46.37*12</f>
        <v>556.43999999999994</v>
      </c>
      <c r="H9" s="17">
        <f t="shared" si="0"/>
        <v>10658.6854</v>
      </c>
      <c r="I9" s="17">
        <f t="shared" si="2"/>
        <v>3923.9144999999999</v>
      </c>
      <c r="J9" s="17">
        <f t="shared" si="3"/>
        <v>1938.8754000000001</v>
      </c>
      <c r="K9" s="17">
        <f t="shared" si="4"/>
        <v>1148.9631999999999</v>
      </c>
      <c r="L9" s="17">
        <f t="shared" si="1"/>
        <v>69519.878500000006</v>
      </c>
    </row>
    <row r="10" spans="1:14" ht="14.4" x14ac:dyDescent="0.3">
      <c r="A10" s="21" t="s">
        <v>143</v>
      </c>
      <c r="B10" s="21" t="s">
        <v>130</v>
      </c>
      <c r="C10" s="21" t="s">
        <v>131</v>
      </c>
      <c r="D10" s="22">
        <f>2587.08*26</f>
        <v>67264.08</v>
      </c>
      <c r="E10" s="23"/>
      <c r="F10" s="30">
        <v>70635</v>
      </c>
      <c r="G10" s="22">
        <f>455.28*12</f>
        <v>5463.36</v>
      </c>
      <c r="H10" s="17">
        <f t="shared" si="0"/>
        <v>14677.953000000001</v>
      </c>
      <c r="I10" s="17">
        <f t="shared" si="2"/>
        <v>5403.5775000000003</v>
      </c>
      <c r="J10" s="17">
        <f t="shared" si="3"/>
        <v>2670.0030000000002</v>
      </c>
      <c r="K10" s="17">
        <f t="shared" si="4"/>
        <v>1582.2239999999999</v>
      </c>
      <c r="L10" s="17">
        <f t="shared" si="1"/>
        <v>100432.11749999999</v>
      </c>
    </row>
    <row r="11" spans="1:14" ht="14.4" x14ac:dyDescent="0.3">
      <c r="A11" s="21" t="s">
        <v>144</v>
      </c>
      <c r="B11" s="21" t="s">
        <v>130</v>
      </c>
      <c r="C11" s="21" t="s">
        <v>131</v>
      </c>
      <c r="D11" s="22">
        <f>1562.5*26</f>
        <v>40625</v>
      </c>
      <c r="E11" s="23"/>
      <c r="F11" s="30">
        <v>50337</v>
      </c>
      <c r="G11" s="22">
        <f>5.28*12</f>
        <v>63.36</v>
      </c>
      <c r="H11" s="17">
        <f t="shared" si="0"/>
        <v>10460.028600000001</v>
      </c>
      <c r="I11" s="17">
        <f t="shared" si="2"/>
        <v>3850.7804999999998</v>
      </c>
      <c r="J11" s="17">
        <f t="shared" si="3"/>
        <v>1902.7385999999999</v>
      </c>
      <c r="K11" s="17">
        <f t="shared" si="4"/>
        <v>1127.5488</v>
      </c>
      <c r="L11" s="17">
        <f t="shared" si="1"/>
        <v>67741.456500000015</v>
      </c>
    </row>
    <row r="12" spans="1:14" ht="14.4" x14ac:dyDescent="0.3">
      <c r="A12" s="21" t="s">
        <v>155</v>
      </c>
      <c r="B12" s="39" t="s">
        <v>156</v>
      </c>
      <c r="C12" s="21" t="s">
        <v>209</v>
      </c>
      <c r="D12" s="40">
        <f>2240.92*26</f>
        <v>58263.92</v>
      </c>
      <c r="E12" s="23"/>
      <c r="F12" s="30">
        <v>66261</v>
      </c>
      <c r="G12" s="40">
        <f>443.72*12</f>
        <v>5324.64</v>
      </c>
      <c r="H12" s="41">
        <f t="shared" si="0"/>
        <v>13769.035800000001</v>
      </c>
      <c r="I12" s="41">
        <f>F12*0.0765</f>
        <v>5068.9664999999995</v>
      </c>
      <c r="J12" s="17">
        <f t="shared" si="3"/>
        <v>2504.6658000000002</v>
      </c>
      <c r="K12" s="41">
        <f>F12*0.0224</f>
        <v>1484.2464</v>
      </c>
      <c r="L12" s="41">
        <f t="shared" si="1"/>
        <v>94412.554499999998</v>
      </c>
      <c r="N12" s="42"/>
    </row>
    <row r="13" spans="1:14" ht="14.4" x14ac:dyDescent="0.3">
      <c r="A13" s="21" t="s">
        <v>148</v>
      </c>
      <c r="B13" s="39" t="s">
        <v>149</v>
      </c>
      <c r="C13" s="21" t="s">
        <v>208</v>
      </c>
      <c r="D13" s="40">
        <f>2010.29*26</f>
        <v>52267.54</v>
      </c>
      <c r="E13" s="23"/>
      <c r="F13" s="30">
        <v>51998</v>
      </c>
      <c r="G13" s="40">
        <f>5.28*12</f>
        <v>63.36</v>
      </c>
      <c r="H13" s="41">
        <f t="shared" si="0"/>
        <v>10805.1844</v>
      </c>
      <c r="I13" s="41">
        <f>F13*0.0765</f>
        <v>3977.8469999999998</v>
      </c>
      <c r="J13" s="17">
        <f t="shared" si="3"/>
        <v>1965.5244</v>
      </c>
      <c r="K13" s="41">
        <f>F13*0.0224</f>
        <v>1164.7552000000001</v>
      </c>
      <c r="L13" s="41">
        <f t="shared" si="1"/>
        <v>69974.670999999988</v>
      </c>
      <c r="M13" s="31" t="s">
        <v>150</v>
      </c>
      <c r="N13" s="42"/>
    </row>
    <row r="14" spans="1:14" ht="14.4" x14ac:dyDescent="0.3">
      <c r="A14" s="21" t="s">
        <v>151</v>
      </c>
      <c r="B14" s="39" t="s">
        <v>149</v>
      </c>
      <c r="C14" s="21" t="s">
        <v>208</v>
      </c>
      <c r="D14" s="40">
        <f>2239.42*26</f>
        <v>58224.92</v>
      </c>
      <c r="E14" s="23"/>
      <c r="F14" s="30">
        <v>59186</v>
      </c>
      <c r="G14" s="40">
        <f>443.72*12</f>
        <v>5324.64</v>
      </c>
      <c r="H14" s="41">
        <f t="shared" si="0"/>
        <v>12298.8508</v>
      </c>
      <c r="I14" s="41">
        <f>F14*0.0765</f>
        <v>4527.7290000000003</v>
      </c>
      <c r="J14" s="17">
        <f t="shared" si="3"/>
        <v>2237.2307999999998</v>
      </c>
      <c r="K14" s="41">
        <f>F14*0.0224</f>
        <v>1325.7664</v>
      </c>
      <c r="L14" s="41">
        <f t="shared" si="1"/>
        <v>84900.217000000004</v>
      </c>
      <c r="N14" s="42"/>
    </row>
    <row r="15" spans="1:14" ht="14.4" x14ac:dyDescent="0.3">
      <c r="A15" s="21" t="s">
        <v>152</v>
      </c>
      <c r="B15" s="39" t="s">
        <v>149</v>
      </c>
      <c r="C15" s="21" t="s">
        <v>215</v>
      </c>
      <c r="D15" s="40">
        <f>2010.29*26</f>
        <v>52267.54</v>
      </c>
      <c r="E15" s="23"/>
      <c r="F15" s="30">
        <v>50337</v>
      </c>
      <c r="G15" s="40">
        <f>443.72*12</f>
        <v>5324.64</v>
      </c>
      <c r="H15" s="41">
        <f t="shared" si="0"/>
        <v>10460.028600000001</v>
      </c>
      <c r="I15" s="41">
        <f t="shared" ref="I15" si="5">F15*0.0765</f>
        <v>3850.7804999999998</v>
      </c>
      <c r="J15" s="17">
        <f t="shared" si="3"/>
        <v>1902.7385999999999</v>
      </c>
      <c r="K15" s="41">
        <f t="shared" ref="K15" si="6">F15*0.0224</f>
        <v>1127.5488</v>
      </c>
      <c r="L15" s="41">
        <f t="shared" si="1"/>
        <v>73002.736499999999</v>
      </c>
      <c r="N15" s="42"/>
    </row>
    <row r="16" spans="1:14" ht="14.4" x14ac:dyDescent="0.3">
      <c r="A16" s="21" t="s">
        <v>145</v>
      </c>
      <c r="B16" s="21" t="s">
        <v>130</v>
      </c>
      <c r="C16" s="21" t="s">
        <v>131</v>
      </c>
      <c r="D16" s="22">
        <f>1896.29*26</f>
        <v>49303.54</v>
      </c>
      <c r="E16" s="23"/>
      <c r="F16" s="30">
        <v>53993</v>
      </c>
      <c r="G16" s="22">
        <f>5.28*12</f>
        <v>63.36</v>
      </c>
      <c r="H16" s="17">
        <f t="shared" si="0"/>
        <v>11219.7454</v>
      </c>
      <c r="I16" s="17">
        <f t="shared" si="2"/>
        <v>4130.4645</v>
      </c>
      <c r="J16" s="17">
        <f t="shared" si="3"/>
        <v>2040.9354000000001</v>
      </c>
      <c r="K16" s="17">
        <f t="shared" si="4"/>
        <v>1209.4431999999999</v>
      </c>
      <c r="L16" s="17">
        <f t="shared" si="1"/>
        <v>72656.948499999999</v>
      </c>
      <c r="M16" s="31" t="s">
        <v>146</v>
      </c>
    </row>
    <row r="17" spans="1:14" ht="14.4" x14ac:dyDescent="0.3">
      <c r="A17" s="21"/>
      <c r="B17" s="21"/>
      <c r="C17" s="21"/>
      <c r="D17" s="32" t="s">
        <v>147</v>
      </c>
      <c r="E17" s="23"/>
      <c r="F17" s="33">
        <f t="shared" ref="F17:L17" si="7">SUM(F3:F16)</f>
        <v>803746</v>
      </c>
      <c r="G17" s="33">
        <f t="shared" si="7"/>
        <v>43578.84</v>
      </c>
      <c r="H17" s="33">
        <f t="shared" si="7"/>
        <v>167018.41879999998</v>
      </c>
      <c r="I17" s="33">
        <f t="shared" si="7"/>
        <v>61486.56900000001</v>
      </c>
      <c r="J17" s="33">
        <f t="shared" si="7"/>
        <v>30381.5988</v>
      </c>
      <c r="K17" s="33">
        <f t="shared" si="7"/>
        <v>18003.910400000001</v>
      </c>
      <c r="L17" s="33">
        <f t="shared" si="7"/>
        <v>1124215.3369999998</v>
      </c>
      <c r="M17" s="31"/>
    </row>
    <row r="18" spans="1:14" ht="14.4" x14ac:dyDescent="0.3">
      <c r="A18" s="21"/>
      <c r="B18" s="21"/>
      <c r="C18" s="21"/>
      <c r="D18" s="22"/>
      <c r="E18" s="23"/>
      <c r="F18" s="30"/>
      <c r="G18" s="22"/>
    </row>
    <row r="20" spans="1:14" ht="14.4" x14ac:dyDescent="0.3">
      <c r="A20" s="21" t="s">
        <v>159</v>
      </c>
      <c r="B20" s="21" t="s">
        <v>158</v>
      </c>
      <c r="C20" s="21" t="s">
        <v>211</v>
      </c>
      <c r="D20" s="22">
        <f>1886.21*26</f>
        <v>49041.46</v>
      </c>
      <c r="E20" s="23"/>
      <c r="F20" s="30">
        <v>50337</v>
      </c>
      <c r="G20" s="22">
        <f>443.72*12</f>
        <v>5324.64</v>
      </c>
      <c r="H20" s="17">
        <f>F20*0.2078</f>
        <v>10460.028600000001</v>
      </c>
      <c r="I20" s="17">
        <f t="shared" ref="I20:I21" si="8">F20*0.0765</f>
        <v>3850.7804999999998</v>
      </c>
      <c r="J20" s="17">
        <f t="shared" ref="J20:J23" si="9">F20*0.0378</f>
        <v>1902.7385999999999</v>
      </c>
      <c r="K20" s="17">
        <f t="shared" ref="K20:K21" si="10">F20*0.0224</f>
        <v>1127.5488</v>
      </c>
      <c r="L20" s="17">
        <f>SUM(F20:K20)</f>
        <v>73002.736499999999</v>
      </c>
    </row>
    <row r="21" spans="1:14" ht="14.4" x14ac:dyDescent="0.3">
      <c r="A21" s="21" t="s">
        <v>160</v>
      </c>
      <c r="B21" s="21" t="s">
        <v>158</v>
      </c>
      <c r="C21" s="21" t="s">
        <v>212</v>
      </c>
      <c r="D21" s="22">
        <f>2407*26</f>
        <v>62582</v>
      </c>
      <c r="E21" s="23"/>
      <c r="F21" s="30">
        <v>64291</v>
      </c>
      <c r="G21" s="22">
        <f>SUM(3+34.63+2.28+6.46)*12</f>
        <v>556.44000000000005</v>
      </c>
      <c r="H21" s="17">
        <f>F21*0.2078</f>
        <v>13359.669800000001</v>
      </c>
      <c r="I21" s="17">
        <f t="shared" si="8"/>
        <v>4918.2614999999996</v>
      </c>
      <c r="J21" s="17">
        <f t="shared" si="9"/>
        <v>2430.1997999999999</v>
      </c>
      <c r="K21" s="17">
        <f t="shared" si="10"/>
        <v>1440.1184000000001</v>
      </c>
      <c r="L21" s="17">
        <f>SUM(F21:K21)</f>
        <v>86995.689500000008</v>
      </c>
    </row>
    <row r="22" spans="1:14" ht="14.4" x14ac:dyDescent="0.3">
      <c r="A22" s="21" t="s">
        <v>134</v>
      </c>
      <c r="B22" s="21" t="s">
        <v>130</v>
      </c>
      <c r="C22" s="21" t="s">
        <v>213</v>
      </c>
      <c r="D22" s="22">
        <f>1896.29*26</f>
        <v>49303.54</v>
      </c>
      <c r="E22" s="23"/>
      <c r="F22" s="30">
        <v>52268</v>
      </c>
      <c r="G22" s="22">
        <f>430.9*12</f>
        <v>5170.7999999999993</v>
      </c>
      <c r="H22" s="17">
        <f>F22*0.2078</f>
        <v>10861.2904</v>
      </c>
      <c r="I22" s="17">
        <f>F22*0.0765</f>
        <v>3998.502</v>
      </c>
      <c r="J22" s="17">
        <f t="shared" si="9"/>
        <v>1975.7303999999999</v>
      </c>
      <c r="K22" s="17">
        <f>F22*0.0224</f>
        <v>1170.8032000000001</v>
      </c>
      <c r="L22" s="17">
        <f>SUM(F22:K22)</f>
        <v>75445.125999999989</v>
      </c>
    </row>
    <row r="23" spans="1:14" s="29" customFormat="1" ht="14.4" x14ac:dyDescent="0.3">
      <c r="A23" s="25" t="s">
        <v>205</v>
      </c>
      <c r="B23" s="25" t="s">
        <v>133</v>
      </c>
      <c r="C23" s="25" t="s">
        <v>131</v>
      </c>
      <c r="D23" s="26">
        <f>2156.39*26</f>
        <v>56066.14</v>
      </c>
      <c r="E23" s="27"/>
      <c r="F23" s="28">
        <f>56355/2</f>
        <v>28177.5</v>
      </c>
      <c r="G23" s="26">
        <f>455.28*12</f>
        <v>5463.36</v>
      </c>
      <c r="H23" s="17">
        <f t="shared" ref="H23" si="11">F23*0.2078</f>
        <v>5855.2845000000007</v>
      </c>
      <c r="I23" s="17">
        <f>F23*0.0765</f>
        <v>2155.5787500000001</v>
      </c>
      <c r="J23" s="17">
        <f t="shared" si="9"/>
        <v>1065.1095</v>
      </c>
      <c r="K23" s="17">
        <f>F23*0.0224</f>
        <v>631.17600000000004</v>
      </c>
      <c r="L23" s="17">
        <f>SUM(F23:K23)</f>
        <v>43348.008750000001</v>
      </c>
      <c r="M23" s="29" t="s">
        <v>206</v>
      </c>
    </row>
    <row r="24" spans="1:14" ht="14.4" x14ac:dyDescent="0.3">
      <c r="A24" s="21"/>
      <c r="B24" s="21"/>
      <c r="C24" s="21"/>
      <c r="D24" s="32" t="s">
        <v>161</v>
      </c>
      <c r="E24" s="23"/>
      <c r="F24" s="33">
        <f>SUM(F20:F23)</f>
        <v>195073.5</v>
      </c>
      <c r="G24" s="33">
        <f t="shared" ref="G24:K24" si="12">SUM(G20:G23)</f>
        <v>16515.239999999998</v>
      </c>
      <c r="H24" s="33">
        <f t="shared" si="12"/>
        <v>40536.273300000001</v>
      </c>
      <c r="I24" s="33">
        <f t="shared" si="12"/>
        <v>14923.12275</v>
      </c>
      <c r="J24" s="33">
        <f t="shared" si="12"/>
        <v>7373.7782999999999</v>
      </c>
      <c r="K24" s="33">
        <f t="shared" si="12"/>
        <v>4369.6464000000005</v>
      </c>
      <c r="L24" s="33">
        <f>SUM(L20:L23)</f>
        <v>278791.56075</v>
      </c>
    </row>
    <row r="25" spans="1:14" ht="14.4" x14ac:dyDescent="0.3">
      <c r="A25" s="21"/>
      <c r="B25" s="21"/>
      <c r="C25" s="21"/>
      <c r="D25" s="32"/>
      <c r="E25" s="23"/>
      <c r="F25" s="30"/>
      <c r="G25" s="22"/>
    </row>
    <row r="26" spans="1:14" ht="14.4" x14ac:dyDescent="0.3">
      <c r="A26" s="21" t="s">
        <v>162</v>
      </c>
      <c r="B26" s="21" t="s">
        <v>163</v>
      </c>
      <c r="C26" s="21" t="s">
        <v>164</v>
      </c>
      <c r="D26" s="22">
        <f>4375*26</f>
        <v>113750</v>
      </c>
      <c r="E26" s="23"/>
      <c r="F26" s="30">
        <v>110000</v>
      </c>
      <c r="G26" s="22">
        <f>5.28*12</f>
        <v>63.36</v>
      </c>
      <c r="H26" s="17">
        <f>F26*0.2078</f>
        <v>22858</v>
      </c>
      <c r="I26" s="17">
        <f t="shared" ref="I26" si="13">F26*0.0765</f>
        <v>8415</v>
      </c>
      <c r="J26" s="17">
        <f t="shared" ref="J26" si="14">F26*0.0378</f>
        <v>4158</v>
      </c>
      <c r="K26" s="17">
        <f>F26*0.0224</f>
        <v>2464</v>
      </c>
      <c r="L26" s="17">
        <f>SUM(F26:K26)</f>
        <v>147958.35999999999</v>
      </c>
    </row>
    <row r="27" spans="1:14" ht="14.4" x14ac:dyDescent="0.3">
      <c r="A27" s="21"/>
      <c r="B27" s="21"/>
      <c r="C27" s="21"/>
      <c r="D27" s="32" t="s">
        <v>165</v>
      </c>
      <c r="E27" s="23"/>
      <c r="F27" s="33">
        <f>F26</f>
        <v>110000</v>
      </c>
      <c r="G27" s="33">
        <f t="shared" ref="G27:L27" si="15">G26</f>
        <v>63.36</v>
      </c>
      <c r="H27" s="33">
        <f t="shared" si="15"/>
        <v>22858</v>
      </c>
      <c r="I27" s="33">
        <f t="shared" si="15"/>
        <v>8415</v>
      </c>
      <c r="J27" s="33">
        <f t="shared" si="15"/>
        <v>4158</v>
      </c>
      <c r="K27" s="33">
        <f t="shared" si="15"/>
        <v>2464</v>
      </c>
      <c r="L27" s="33">
        <f t="shared" si="15"/>
        <v>147958.35999999999</v>
      </c>
    </row>
    <row r="28" spans="1:14" ht="14.4" x14ac:dyDescent="0.3">
      <c r="A28" s="21"/>
      <c r="B28" s="21"/>
      <c r="C28" s="21"/>
      <c r="D28" s="22"/>
      <c r="E28" s="23"/>
      <c r="F28" s="30"/>
      <c r="G28" s="22"/>
    </row>
    <row r="29" spans="1:14" ht="14.4" x14ac:dyDescent="0.3">
      <c r="A29" s="21" t="s">
        <v>166</v>
      </c>
      <c r="B29" s="21" t="s">
        <v>167</v>
      </c>
      <c r="C29" s="21" t="s">
        <v>168</v>
      </c>
      <c r="D29" s="22">
        <f>2916.67*26</f>
        <v>75833.42</v>
      </c>
      <c r="E29" s="23"/>
      <c r="F29" s="30">
        <v>75000</v>
      </c>
      <c r="G29" s="22">
        <f>443.72*12</f>
        <v>5324.64</v>
      </c>
      <c r="H29" s="17">
        <f>F29*0.2078</f>
        <v>15585.000000000002</v>
      </c>
      <c r="I29" s="17">
        <f t="shared" ref="I29" si="16">F29*0.0765</f>
        <v>5737.5</v>
      </c>
      <c r="J29" s="17">
        <f t="shared" ref="J29" si="17">F29*0.0378</f>
        <v>2835</v>
      </c>
      <c r="K29" s="17">
        <f>F29*0.0224</f>
        <v>1680</v>
      </c>
      <c r="L29" s="17">
        <f>SUM(F29:K29)</f>
        <v>106162.14</v>
      </c>
    </row>
    <row r="30" spans="1:14" ht="14.4" x14ac:dyDescent="0.3">
      <c r="A30" s="21"/>
      <c r="B30" s="21"/>
      <c r="C30" s="21"/>
      <c r="D30" s="32" t="s">
        <v>169</v>
      </c>
      <c r="E30" s="23"/>
      <c r="F30" s="33">
        <f>F29</f>
        <v>75000</v>
      </c>
      <c r="G30" s="33">
        <f t="shared" ref="G30:L30" si="18">G29</f>
        <v>5324.64</v>
      </c>
      <c r="H30" s="33">
        <f t="shared" si="18"/>
        <v>15585.000000000002</v>
      </c>
      <c r="I30" s="33">
        <f t="shared" si="18"/>
        <v>5737.5</v>
      </c>
      <c r="J30" s="33">
        <f t="shared" si="18"/>
        <v>2835</v>
      </c>
      <c r="K30" s="33">
        <f t="shared" si="18"/>
        <v>1680</v>
      </c>
      <c r="L30" s="33">
        <f t="shared" si="18"/>
        <v>106162.14</v>
      </c>
    </row>
    <row r="31" spans="1:14" ht="14.4" x14ac:dyDescent="0.3">
      <c r="A31" s="21"/>
      <c r="B31" s="21"/>
      <c r="C31" s="21"/>
      <c r="D31" s="22"/>
      <c r="E31" s="23"/>
      <c r="F31" s="30"/>
      <c r="G31" s="22"/>
    </row>
    <row r="32" spans="1:14" ht="14.4" x14ac:dyDescent="0.3">
      <c r="A32" s="21" t="s">
        <v>153</v>
      </c>
      <c r="B32" s="39" t="s">
        <v>149</v>
      </c>
      <c r="C32" s="21" t="s">
        <v>210</v>
      </c>
      <c r="D32" s="40">
        <f>1607.09*26</f>
        <v>41784.339999999997</v>
      </c>
      <c r="E32" s="23"/>
      <c r="F32" s="30">
        <v>51998</v>
      </c>
      <c r="G32" s="40">
        <f>437.26*12</f>
        <v>5247.12</v>
      </c>
      <c r="H32" s="41">
        <f>F32*0.2078</f>
        <v>10805.1844</v>
      </c>
      <c r="I32" s="41">
        <f>F32*0.0765</f>
        <v>3977.8469999999998</v>
      </c>
      <c r="J32" s="17">
        <f t="shared" ref="J32" si="19">F32*0.0378</f>
        <v>1965.5244</v>
      </c>
      <c r="K32" s="41">
        <f>F32*0.0224</f>
        <v>1164.7552000000001</v>
      </c>
      <c r="L32" s="41">
        <f>SUM(F32:K32)</f>
        <v>75158.430999999997</v>
      </c>
      <c r="M32" s="31" t="s">
        <v>154</v>
      </c>
      <c r="N32" s="42"/>
    </row>
    <row r="33" spans="1:13" ht="14.4" x14ac:dyDescent="0.3">
      <c r="A33" s="21"/>
      <c r="B33" s="21"/>
      <c r="C33" s="21"/>
      <c r="D33" s="22"/>
      <c r="E33" s="23"/>
      <c r="F33" s="30"/>
      <c r="G33" s="22"/>
      <c r="H33" s="17">
        <f>F33*0.2078</f>
        <v>0</v>
      </c>
      <c r="I33" s="17">
        <f t="shared" ref="I33" si="20">F33*0.0765</f>
        <v>0</v>
      </c>
      <c r="J33" s="17">
        <f t="shared" ref="J33" si="21">F33*0.01404</f>
        <v>0</v>
      </c>
      <c r="L33" s="17">
        <f>SUM(F33:K33)</f>
        <v>0</v>
      </c>
    </row>
    <row r="34" spans="1:13" ht="14.4" x14ac:dyDescent="0.3">
      <c r="A34" s="21"/>
      <c r="B34" s="21"/>
      <c r="C34" s="21"/>
      <c r="D34" s="32" t="s">
        <v>170</v>
      </c>
      <c r="E34" s="23"/>
      <c r="F34" s="33">
        <f t="shared" ref="F34:L34" si="22">SUM(F32:F33)</f>
        <v>51998</v>
      </c>
      <c r="G34" s="33">
        <f t="shared" si="22"/>
        <v>5247.12</v>
      </c>
      <c r="H34" s="33">
        <f t="shared" si="22"/>
        <v>10805.1844</v>
      </c>
      <c r="I34" s="33">
        <f t="shared" si="22"/>
        <v>3977.8469999999998</v>
      </c>
      <c r="J34" s="33">
        <f t="shared" si="22"/>
        <v>1965.5244</v>
      </c>
      <c r="K34" s="33">
        <f t="shared" si="22"/>
        <v>1164.7552000000001</v>
      </c>
      <c r="L34" s="33">
        <f t="shared" si="22"/>
        <v>75158.430999999997</v>
      </c>
    </row>
    <row r="35" spans="1:13" ht="14.4" x14ac:dyDescent="0.3">
      <c r="A35" s="21"/>
      <c r="B35" s="21"/>
      <c r="C35" s="21"/>
      <c r="D35" s="32"/>
      <c r="E35" s="23"/>
      <c r="F35" s="30"/>
      <c r="G35" s="22"/>
    </row>
    <row r="36" spans="1:13" ht="14.4" x14ac:dyDescent="0.3">
      <c r="A36" s="21" t="s">
        <v>171</v>
      </c>
      <c r="B36" s="21" t="s">
        <v>172</v>
      </c>
      <c r="C36" s="21" t="s">
        <v>217</v>
      </c>
      <c r="D36" s="22">
        <f>1875*26</f>
        <v>48750</v>
      </c>
      <c r="E36" s="23"/>
      <c r="F36" s="30">
        <v>47500</v>
      </c>
      <c r="G36" s="22">
        <f>448.82*12</f>
        <v>5385.84</v>
      </c>
      <c r="H36" s="17">
        <f>F36*0.2078</f>
        <v>9870.5</v>
      </c>
      <c r="I36" s="17">
        <f t="shared" ref="I36:I37" si="23">F36*0.0765</f>
        <v>3633.75</v>
      </c>
      <c r="J36" s="17">
        <f t="shared" ref="J36:J37" si="24">F36*0.0378</f>
        <v>1795.5</v>
      </c>
      <c r="K36" s="17">
        <f t="shared" ref="K36:K37" si="25">F36*0.0224</f>
        <v>1064</v>
      </c>
      <c r="L36" s="17">
        <f>SUM(F36:K36)</f>
        <v>69249.59</v>
      </c>
    </row>
    <row r="37" spans="1:13" ht="14.4" x14ac:dyDescent="0.3">
      <c r="A37" s="21" t="s">
        <v>173</v>
      </c>
      <c r="B37" s="21" t="s">
        <v>172</v>
      </c>
      <c r="C37" s="21" t="s">
        <v>218</v>
      </c>
      <c r="D37" s="22">
        <f>(1666.67*26)/2</f>
        <v>21666.71</v>
      </c>
      <c r="E37" s="23"/>
      <c r="F37" s="30">
        <f>47500/2</f>
        <v>23750</v>
      </c>
      <c r="G37" s="22">
        <f>5.28*12</f>
        <v>63.36</v>
      </c>
      <c r="H37" s="17">
        <f>F37*0.2078</f>
        <v>4935.25</v>
      </c>
      <c r="I37" s="17">
        <f t="shared" si="23"/>
        <v>1816.875</v>
      </c>
      <c r="J37" s="17">
        <f t="shared" si="24"/>
        <v>897.75</v>
      </c>
      <c r="K37" s="17">
        <f t="shared" si="25"/>
        <v>532</v>
      </c>
      <c r="L37" s="17">
        <f>SUM(F37:K37)</f>
        <v>31995.235000000001</v>
      </c>
      <c r="M37" t="s">
        <v>535</v>
      </c>
    </row>
    <row r="38" spans="1:13" ht="14.4" x14ac:dyDescent="0.3">
      <c r="A38" s="21"/>
      <c r="B38" s="21"/>
      <c r="C38" s="21"/>
      <c r="D38" s="32" t="s">
        <v>174</v>
      </c>
      <c r="E38" s="23"/>
      <c r="F38" s="33">
        <f>SUM(F36:F37)</f>
        <v>71250</v>
      </c>
      <c r="G38" s="33">
        <f t="shared" ref="G38:K38" si="26">SUM(G36:G37)</f>
        <v>5449.2</v>
      </c>
      <c r="H38" s="33">
        <f t="shared" si="26"/>
        <v>14805.75</v>
      </c>
      <c r="I38" s="33">
        <f t="shared" si="26"/>
        <v>5450.625</v>
      </c>
      <c r="J38" s="33">
        <f t="shared" si="26"/>
        <v>2693.25</v>
      </c>
      <c r="K38" s="33">
        <f t="shared" si="26"/>
        <v>1596</v>
      </c>
      <c r="L38" s="33">
        <f>SUM(L36:L37)</f>
        <v>101244.825</v>
      </c>
    </row>
    <row r="39" spans="1:13" ht="14.4" x14ac:dyDescent="0.3">
      <c r="A39" s="21"/>
      <c r="B39" s="21"/>
      <c r="C39" s="21"/>
      <c r="D39" s="32"/>
      <c r="E39" s="23"/>
      <c r="F39" s="33"/>
      <c r="G39" s="33"/>
      <c r="H39" s="33"/>
      <c r="I39" s="33"/>
      <c r="J39" s="33"/>
      <c r="K39" s="33"/>
      <c r="L39" s="33"/>
    </row>
    <row r="40" spans="1:13" ht="14.4" x14ac:dyDescent="0.3">
      <c r="A40" s="21" t="s">
        <v>173</v>
      </c>
      <c r="B40" s="21">
        <v>210155</v>
      </c>
      <c r="C40" s="21" t="s">
        <v>218</v>
      </c>
      <c r="D40" s="22">
        <f>(1666.67*26)/2</f>
        <v>21666.71</v>
      </c>
      <c r="E40" s="23"/>
      <c r="F40" s="30">
        <f>47500/2</f>
        <v>23750</v>
      </c>
      <c r="G40" s="22">
        <f>5.28*12</f>
        <v>63.36</v>
      </c>
      <c r="H40" s="17">
        <f>F40*0.2078</f>
        <v>4935.25</v>
      </c>
      <c r="I40" s="17">
        <f t="shared" ref="I40" si="27">F40*0.0765</f>
        <v>1816.875</v>
      </c>
      <c r="J40" s="17">
        <f t="shared" ref="J40" si="28">F40*0.0378</f>
        <v>897.75</v>
      </c>
      <c r="K40" s="17">
        <f t="shared" ref="K40" si="29">F40*0.0224</f>
        <v>532</v>
      </c>
      <c r="L40" s="17">
        <f>SUM(F40:K40)</f>
        <v>31995.235000000001</v>
      </c>
      <c r="M40" t="s">
        <v>535</v>
      </c>
    </row>
    <row r="41" spans="1:13" ht="14.4" x14ac:dyDescent="0.3">
      <c r="A41" s="21"/>
      <c r="B41" s="21"/>
      <c r="C41" s="21"/>
      <c r="D41" s="32" t="s">
        <v>534</v>
      </c>
      <c r="E41" s="23"/>
      <c r="F41" s="33">
        <f>SUM(F40)</f>
        <v>23750</v>
      </c>
      <c r="G41" s="33">
        <f t="shared" ref="G41:L41" si="30">SUM(G40)</f>
        <v>63.36</v>
      </c>
      <c r="H41" s="33">
        <f t="shared" si="30"/>
        <v>4935.25</v>
      </c>
      <c r="I41" s="33">
        <f t="shared" si="30"/>
        <v>1816.875</v>
      </c>
      <c r="J41" s="33">
        <f t="shared" si="30"/>
        <v>897.75</v>
      </c>
      <c r="K41" s="33">
        <f t="shared" si="30"/>
        <v>532</v>
      </c>
      <c r="L41" s="33">
        <f t="shared" si="30"/>
        <v>31995.235000000001</v>
      </c>
    </row>
    <row r="42" spans="1:13" ht="14.4" x14ac:dyDescent="0.3">
      <c r="A42" s="21"/>
      <c r="B42" s="21"/>
      <c r="C42" s="21"/>
      <c r="D42" s="32"/>
      <c r="E42" s="23"/>
      <c r="F42" s="30"/>
      <c r="G42" s="30"/>
      <c r="H42" s="30"/>
      <c r="I42" s="30"/>
      <c r="J42" s="30"/>
      <c r="K42" s="30"/>
      <c r="L42" s="30"/>
    </row>
    <row r="43" spans="1:13" ht="14.4" x14ac:dyDescent="0.3">
      <c r="A43" s="21" t="s">
        <v>205</v>
      </c>
      <c r="B43" s="21" t="s">
        <v>175</v>
      </c>
      <c r="C43" s="21" t="s">
        <v>176</v>
      </c>
      <c r="D43" s="22">
        <f>2291.67*26</f>
        <v>59583.42</v>
      </c>
      <c r="E43" s="23"/>
      <c r="F43" s="30">
        <v>60000</v>
      </c>
      <c r="G43" s="22">
        <f>424.44*12</f>
        <v>5093.28</v>
      </c>
      <c r="H43" s="17">
        <f>F43*0.2078</f>
        <v>12468</v>
      </c>
      <c r="I43" s="17">
        <f t="shared" ref="I43" si="31">F43*0.0765</f>
        <v>4590</v>
      </c>
      <c r="J43" s="17">
        <f t="shared" ref="J43" si="32">F43*0.0378</f>
        <v>2268</v>
      </c>
      <c r="K43" s="17">
        <f>F43*0.0224</f>
        <v>1344</v>
      </c>
      <c r="L43" s="17">
        <f>SUM(F43:K43)</f>
        <v>85763.28</v>
      </c>
      <c r="M43" t="s">
        <v>207</v>
      </c>
    </row>
    <row r="44" spans="1:13" ht="14.4" x14ac:dyDescent="0.3">
      <c r="A44" s="21"/>
      <c r="B44" s="21"/>
      <c r="C44" s="21"/>
      <c r="D44" s="32" t="s">
        <v>177</v>
      </c>
      <c r="E44" s="23"/>
      <c r="F44" s="33">
        <f>F43</f>
        <v>60000</v>
      </c>
      <c r="G44" s="33">
        <f t="shared" ref="G44:L44" si="33">G43</f>
        <v>5093.28</v>
      </c>
      <c r="H44" s="33">
        <f t="shared" si="33"/>
        <v>12468</v>
      </c>
      <c r="I44" s="33">
        <f t="shared" si="33"/>
        <v>4590</v>
      </c>
      <c r="J44" s="33">
        <f t="shared" si="33"/>
        <v>2268</v>
      </c>
      <c r="K44" s="33">
        <f t="shared" si="33"/>
        <v>1344</v>
      </c>
      <c r="L44" s="33">
        <f t="shared" si="33"/>
        <v>85763.28</v>
      </c>
    </row>
    <row r="45" spans="1:13" ht="14.4" x14ac:dyDescent="0.3">
      <c r="A45" s="21"/>
      <c r="B45" s="21"/>
      <c r="C45" s="21"/>
      <c r="D45" s="22"/>
      <c r="E45" s="23"/>
      <c r="F45" s="30"/>
      <c r="G45" s="22"/>
    </row>
    <row r="47" spans="1:13" ht="14.4" x14ac:dyDescent="0.3">
      <c r="A47" s="21" t="s">
        <v>180</v>
      </c>
      <c r="B47" s="21" t="s">
        <v>179</v>
      </c>
      <c r="C47" s="21" t="s">
        <v>181</v>
      </c>
      <c r="D47" s="22">
        <f>2916.67*26</f>
        <v>75833.42</v>
      </c>
      <c r="E47" s="23"/>
      <c r="F47" s="30">
        <v>80000</v>
      </c>
      <c r="G47" s="22">
        <f>443.72*12</f>
        <v>5324.64</v>
      </c>
      <c r="H47" s="17">
        <f>F47*0.2078</f>
        <v>16624</v>
      </c>
      <c r="I47" s="17">
        <f t="shared" ref="I47" si="34">F47*0.0765</f>
        <v>6120</v>
      </c>
      <c r="J47" s="17">
        <f t="shared" ref="J47:J48" si="35">F47*0.0378</f>
        <v>3024</v>
      </c>
      <c r="K47" s="17">
        <f t="shared" ref="K47" si="36">F47*0.0224</f>
        <v>1792</v>
      </c>
      <c r="L47" s="17">
        <f>SUM(F47:K47)</f>
        <v>112884.64</v>
      </c>
    </row>
    <row r="48" spans="1:13" ht="14.4" x14ac:dyDescent="0.3">
      <c r="A48" s="21" t="s">
        <v>157</v>
      </c>
      <c r="B48" s="21" t="s">
        <v>158</v>
      </c>
      <c r="C48" s="21" t="s">
        <v>221</v>
      </c>
      <c r="D48" s="22">
        <f>2541.67*26</f>
        <v>66083.42</v>
      </c>
      <c r="E48" s="23"/>
      <c r="F48" s="30">
        <v>65000</v>
      </c>
      <c r="G48" s="22">
        <f>437.26*12</f>
        <v>5247.12</v>
      </c>
      <c r="H48" s="17">
        <f>F48*0.2078</f>
        <v>13507</v>
      </c>
      <c r="I48" s="17">
        <f>F48*0.0765</f>
        <v>4972.5</v>
      </c>
      <c r="J48" s="17">
        <f t="shared" si="35"/>
        <v>2457</v>
      </c>
      <c r="K48" s="17">
        <f>F48*0.0224</f>
        <v>1456</v>
      </c>
      <c r="L48" s="17">
        <f>SUM(F48:K48)</f>
        <v>92639.62</v>
      </c>
    </row>
    <row r="49" spans="1:13" ht="14.4" x14ac:dyDescent="0.3">
      <c r="A49" s="21"/>
      <c r="B49" s="21"/>
      <c r="C49" s="21"/>
      <c r="D49" s="32" t="s">
        <v>182</v>
      </c>
      <c r="E49" s="23"/>
      <c r="F49" s="33">
        <f>SUM(F47:F48)</f>
        <v>145000</v>
      </c>
      <c r="G49" s="33">
        <f t="shared" ref="G49:L49" si="37">SUM(G47:G48)</f>
        <v>10571.76</v>
      </c>
      <c r="H49" s="33">
        <f t="shared" si="37"/>
        <v>30131</v>
      </c>
      <c r="I49" s="33">
        <f t="shared" si="37"/>
        <v>11092.5</v>
      </c>
      <c r="J49" s="33">
        <f t="shared" si="37"/>
        <v>5481</v>
      </c>
      <c r="K49" s="33">
        <f t="shared" si="37"/>
        <v>3248</v>
      </c>
      <c r="L49" s="33">
        <f t="shared" si="37"/>
        <v>205524.26</v>
      </c>
    </row>
    <row r="50" spans="1:13" ht="14.4" x14ac:dyDescent="0.3">
      <c r="A50" s="21"/>
      <c r="B50" s="21"/>
      <c r="C50" s="21"/>
      <c r="D50" s="22"/>
      <c r="E50" s="23"/>
      <c r="F50" s="30"/>
      <c r="G50" s="22"/>
    </row>
    <row r="51" spans="1:13" ht="14.4" x14ac:dyDescent="0.3">
      <c r="A51" s="21" t="s">
        <v>205</v>
      </c>
      <c r="B51" s="21" t="s">
        <v>183</v>
      </c>
      <c r="C51" s="21" t="s">
        <v>216</v>
      </c>
      <c r="D51" s="22">
        <f>2916.67*26</f>
        <v>75833.42</v>
      </c>
      <c r="E51" s="23"/>
      <c r="F51" s="30">
        <v>75000</v>
      </c>
      <c r="G51" s="22">
        <f>414.19*12</f>
        <v>4970.28</v>
      </c>
      <c r="H51" s="17">
        <f>F51*0.2078</f>
        <v>15585.000000000002</v>
      </c>
      <c r="I51" s="17">
        <f t="shared" ref="I51:I52" si="38">F51*0.0765</f>
        <v>5737.5</v>
      </c>
      <c r="J51" s="17">
        <f t="shared" ref="J51:J55" si="39">F51*0.0378</f>
        <v>2835</v>
      </c>
      <c r="K51" s="17">
        <f t="shared" ref="K51:K52" si="40">F51*0.0224</f>
        <v>1680</v>
      </c>
      <c r="L51" s="17">
        <f>SUM(F51:K51)</f>
        <v>105807.78</v>
      </c>
      <c r="M51" t="s">
        <v>207</v>
      </c>
    </row>
    <row r="52" spans="1:13" ht="14.4" x14ac:dyDescent="0.3">
      <c r="A52" s="21" t="s">
        <v>184</v>
      </c>
      <c r="B52" s="21" t="s">
        <v>185</v>
      </c>
      <c r="C52" s="21" t="s">
        <v>186</v>
      </c>
      <c r="D52" s="22">
        <f>3333.34*26</f>
        <v>86666.84</v>
      </c>
      <c r="E52" s="23"/>
      <c r="F52" s="30">
        <v>87500</v>
      </c>
      <c r="G52" s="22">
        <f>455.28*12</f>
        <v>5463.36</v>
      </c>
      <c r="H52" s="17">
        <f>F52*0.2078</f>
        <v>18182.5</v>
      </c>
      <c r="I52" s="17">
        <f t="shared" si="38"/>
        <v>6693.75</v>
      </c>
      <c r="J52" s="17">
        <f t="shared" si="39"/>
        <v>3307.5</v>
      </c>
      <c r="K52" s="17">
        <f t="shared" si="40"/>
        <v>1960</v>
      </c>
      <c r="L52" s="17">
        <f>SUM(F52:K52)</f>
        <v>123107.11</v>
      </c>
    </row>
    <row r="53" spans="1:13" ht="14.4" x14ac:dyDescent="0.3">
      <c r="A53" s="21" t="s">
        <v>137</v>
      </c>
      <c r="B53" s="21" t="s">
        <v>130</v>
      </c>
      <c r="C53" s="21" t="s">
        <v>220</v>
      </c>
      <c r="D53" s="22">
        <f>2083.5*26</f>
        <v>54171</v>
      </c>
      <c r="E53" s="23"/>
      <c r="F53" s="30">
        <v>55000</v>
      </c>
      <c r="G53" s="22">
        <f>5.28*12</f>
        <v>63.36</v>
      </c>
      <c r="H53" s="17">
        <f>F53*0.2078</f>
        <v>11429</v>
      </c>
      <c r="I53" s="17">
        <f>F53*0.0765</f>
        <v>4207.5</v>
      </c>
      <c r="J53" s="17">
        <f t="shared" si="39"/>
        <v>2079</v>
      </c>
      <c r="K53" s="17">
        <f>F53*0.0224</f>
        <v>1232</v>
      </c>
      <c r="L53" s="17">
        <f>SUM(F53:K53)</f>
        <v>74010.86</v>
      </c>
    </row>
    <row r="54" spans="1:13" ht="14.4" x14ac:dyDescent="0.3">
      <c r="A54" s="21" t="s">
        <v>178</v>
      </c>
      <c r="B54" s="21" t="s">
        <v>179</v>
      </c>
      <c r="C54" s="21" t="s">
        <v>219</v>
      </c>
      <c r="D54" s="22">
        <f>2500*26</f>
        <v>65000</v>
      </c>
      <c r="E54" s="23"/>
      <c r="F54" s="30">
        <v>75000</v>
      </c>
      <c r="G54" s="22">
        <f>455.28*12</f>
        <v>5463.36</v>
      </c>
      <c r="H54" s="17">
        <f>F54*0.2078</f>
        <v>15585.000000000002</v>
      </c>
      <c r="I54" s="17">
        <f>F54*0.0765</f>
        <v>5737.5</v>
      </c>
      <c r="J54" s="17">
        <f t="shared" si="39"/>
        <v>2835</v>
      </c>
      <c r="K54" s="17">
        <f>F54*0.0224</f>
        <v>1680</v>
      </c>
      <c r="L54" s="17">
        <f>SUM(F54:K54)</f>
        <v>106300.86</v>
      </c>
    </row>
    <row r="55" spans="1:13" ht="14.4" x14ac:dyDescent="0.3">
      <c r="A55" s="44" t="s">
        <v>238</v>
      </c>
      <c r="B55" s="21"/>
      <c r="C55" s="21" t="s">
        <v>232</v>
      </c>
      <c r="D55" s="22">
        <v>60000</v>
      </c>
      <c r="E55" s="23"/>
      <c r="F55" s="30">
        <v>60000</v>
      </c>
      <c r="G55" s="22">
        <f>455.28*12</f>
        <v>5463.36</v>
      </c>
      <c r="H55" s="17">
        <f>F55*0.2078</f>
        <v>12468</v>
      </c>
      <c r="I55" s="17">
        <f>F55*0.0765</f>
        <v>4590</v>
      </c>
      <c r="J55" s="17">
        <f t="shared" si="39"/>
        <v>2268</v>
      </c>
      <c r="K55" s="17">
        <f>F55*0.0224</f>
        <v>1344</v>
      </c>
      <c r="L55" s="17">
        <f>SUM(F55:K55)</f>
        <v>86133.36</v>
      </c>
    </row>
    <row r="56" spans="1:13" ht="14.4" x14ac:dyDescent="0.3">
      <c r="A56" s="21"/>
      <c r="B56" s="21"/>
      <c r="C56" s="21"/>
      <c r="D56" s="32" t="s">
        <v>187</v>
      </c>
      <c r="E56" s="23"/>
      <c r="F56" s="33">
        <f>SUM(F51:F55)</f>
        <v>352500</v>
      </c>
      <c r="G56" s="33">
        <f t="shared" ref="G56:L56" si="41">SUM(G51:G55)</f>
        <v>21423.72</v>
      </c>
      <c r="H56" s="33">
        <f t="shared" si="41"/>
        <v>73249.5</v>
      </c>
      <c r="I56" s="33">
        <f t="shared" si="41"/>
        <v>26966.25</v>
      </c>
      <c r="J56" s="33">
        <f t="shared" si="41"/>
        <v>13324.5</v>
      </c>
      <c r="K56" s="33">
        <f t="shared" si="41"/>
        <v>7896</v>
      </c>
      <c r="L56" s="33">
        <f t="shared" si="41"/>
        <v>495359.97</v>
      </c>
    </row>
    <row r="57" spans="1:13" ht="14.4" x14ac:dyDescent="0.3">
      <c r="A57" s="21"/>
      <c r="B57" s="21"/>
      <c r="C57" s="21"/>
      <c r="D57" s="22"/>
      <c r="E57" s="23"/>
      <c r="F57" s="30"/>
      <c r="G57" s="22"/>
    </row>
    <row r="60" spans="1:13" ht="16.8" x14ac:dyDescent="0.55000000000000004">
      <c r="D60" s="34" t="s">
        <v>188</v>
      </c>
      <c r="E60" s="35"/>
      <c r="F60" s="36">
        <f>SUM(F56,F49,F44,F38,F34,F30,F27,F24,F17,F41)</f>
        <v>1888317.5</v>
      </c>
      <c r="G60" s="36">
        <f t="shared" ref="G60:L60" si="42">SUM(G56,G49,G44,G38,G34,G30,G27,G24,G17,G41)</f>
        <v>113330.52</v>
      </c>
      <c r="H60" s="36">
        <f t="shared" si="42"/>
        <v>392392.37650000001</v>
      </c>
      <c r="I60" s="36">
        <f t="shared" si="42"/>
        <v>144456.28875000001</v>
      </c>
      <c r="J60" s="36">
        <f t="shared" si="42"/>
        <v>71378.401500000007</v>
      </c>
      <c r="K60" s="36">
        <f t="shared" si="42"/>
        <v>42298.312000000005</v>
      </c>
      <c r="L60" s="36">
        <f t="shared" si="42"/>
        <v>2652173.3987499992</v>
      </c>
    </row>
  </sheetData>
  <mergeCells count="1">
    <mergeCell ref="F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E4AC-77CB-4E72-B69B-04DC152DDF47}">
  <dimension ref="A2:N62"/>
  <sheetViews>
    <sheetView workbookViewId="0">
      <selection activeCell="C3" sqref="C3"/>
    </sheetView>
  </sheetViews>
  <sheetFormatPr defaultRowHeight="13.2" x14ac:dyDescent="0.25"/>
  <cols>
    <col min="1" max="1" width="8.88671875" style="46"/>
    <col min="2" max="2" width="20.21875" bestFit="1" customWidth="1"/>
    <col min="3" max="3" width="13.109375" bestFit="1" customWidth="1"/>
    <col min="14" max="14" width="11.44140625" bestFit="1" customWidth="1"/>
  </cols>
  <sheetData>
    <row r="2" spans="1:4" x14ac:dyDescent="0.25">
      <c r="A2" s="46" t="s">
        <v>234</v>
      </c>
    </row>
    <row r="3" spans="1:4" x14ac:dyDescent="0.25">
      <c r="B3" s="60" t="s">
        <v>243</v>
      </c>
      <c r="C3" s="17">
        <v>2924189</v>
      </c>
    </row>
    <row r="4" spans="1:4" x14ac:dyDescent="0.25">
      <c r="B4" s="60" t="s">
        <v>240</v>
      </c>
      <c r="C4">
        <v>212</v>
      </c>
    </row>
    <row r="5" spans="1:4" x14ac:dyDescent="0.25">
      <c r="B5" s="60" t="s">
        <v>241</v>
      </c>
      <c r="C5" s="59">
        <f>C3/C4</f>
        <v>13793.344339622641</v>
      </c>
    </row>
    <row r="7" spans="1:4" x14ac:dyDescent="0.25">
      <c r="B7" s="60" t="s">
        <v>244</v>
      </c>
      <c r="C7">
        <v>275</v>
      </c>
    </row>
    <row r="8" spans="1:4" x14ac:dyDescent="0.25">
      <c r="A8" s="46" t="s">
        <v>245</v>
      </c>
      <c r="B8" s="60" t="s">
        <v>242</v>
      </c>
      <c r="C8" s="61">
        <f>C7*C5</f>
        <v>3793169.6933962265</v>
      </c>
    </row>
    <row r="10" spans="1:4" x14ac:dyDescent="0.25">
      <c r="A10" s="46">
        <v>3140</v>
      </c>
      <c r="B10" s="60" t="s">
        <v>249</v>
      </c>
      <c r="C10" s="61">
        <f>-(C8*D10)</f>
        <v>-410341.50943396229</v>
      </c>
      <c r="D10" s="62">
        <f>G57</f>
        <v>0.10817905408986903</v>
      </c>
    </row>
    <row r="11" spans="1:4" x14ac:dyDescent="0.25">
      <c r="C11" s="61">
        <f>C8+C10</f>
        <v>3382828.1839622641</v>
      </c>
    </row>
    <row r="13" spans="1:4" x14ac:dyDescent="0.25">
      <c r="A13" s="46">
        <v>3120</v>
      </c>
      <c r="B13" s="60" t="s">
        <v>246</v>
      </c>
      <c r="C13" s="61">
        <f>$C$8*D13</f>
        <v>1619675.2071742387</v>
      </c>
      <c r="D13" s="62">
        <f>G59</f>
        <v>0.42699782453551594</v>
      </c>
    </row>
    <row r="14" spans="1:4" x14ac:dyDescent="0.25">
      <c r="A14" s="46">
        <v>3122</v>
      </c>
      <c r="B14" s="60" t="s">
        <v>247</v>
      </c>
      <c r="C14" s="61">
        <f>$C$8*D14</f>
        <v>112126.53187927464</v>
      </c>
      <c r="D14" s="62">
        <f>G60</f>
        <v>2.9560114875557226E-2</v>
      </c>
    </row>
    <row r="15" spans="1:4" x14ac:dyDescent="0.25">
      <c r="A15" s="46">
        <v>3125</v>
      </c>
      <c r="B15" s="60" t="s">
        <v>248</v>
      </c>
      <c r="C15" s="61">
        <f>$C$8*D15</f>
        <v>21787.124109035638</v>
      </c>
      <c r="D15" s="62">
        <f>G61</f>
        <v>5.7437778612874201E-3</v>
      </c>
    </row>
    <row r="16" spans="1:4" x14ac:dyDescent="0.25">
      <c r="A16" s="46">
        <v>1199</v>
      </c>
      <c r="B16" s="60" t="s">
        <v>250</v>
      </c>
      <c r="C16" s="61">
        <f>$C$8*D16</f>
        <v>2388410.2110766647</v>
      </c>
      <c r="D16" s="62">
        <f>G62</f>
        <v>0.62966078613218968</v>
      </c>
    </row>
    <row r="46" spans="14:14" x14ac:dyDescent="0.25">
      <c r="N46" s="17"/>
    </row>
    <row r="47" spans="14:14" x14ac:dyDescent="0.25">
      <c r="N47" s="17">
        <v>290053</v>
      </c>
    </row>
    <row r="48" spans="14:14" x14ac:dyDescent="0.25">
      <c r="N48" s="17">
        <v>123852</v>
      </c>
    </row>
    <row r="49" spans="4:14" x14ac:dyDescent="0.25">
      <c r="N49" s="17">
        <v>8574</v>
      </c>
    </row>
    <row r="50" spans="4:14" x14ac:dyDescent="0.25">
      <c r="N50" s="17"/>
    </row>
    <row r="51" spans="4:14" x14ac:dyDescent="0.25">
      <c r="N51" s="17">
        <v>1666</v>
      </c>
    </row>
    <row r="52" spans="4:14" x14ac:dyDescent="0.25">
      <c r="N52" s="17">
        <v>182635</v>
      </c>
    </row>
    <row r="56" spans="4:14" x14ac:dyDescent="0.25">
      <c r="D56" t="s">
        <v>524</v>
      </c>
    </row>
    <row r="57" spans="4:14" x14ac:dyDescent="0.25">
      <c r="E57" t="s">
        <v>525</v>
      </c>
      <c r="G57" s="76">
        <f>316336/C3</f>
        <v>0.10817905408986903</v>
      </c>
      <c r="H57" t="s">
        <v>526</v>
      </c>
    </row>
    <row r="59" spans="4:14" x14ac:dyDescent="0.25">
      <c r="D59" s="46">
        <v>3120</v>
      </c>
      <c r="E59" s="77" t="s">
        <v>246</v>
      </c>
      <c r="G59" s="76">
        <f>N48/$N$47</f>
        <v>0.42699782453551594</v>
      </c>
      <c r="H59" t="s">
        <v>527</v>
      </c>
    </row>
    <row r="60" spans="4:14" x14ac:dyDescent="0.25">
      <c r="D60" s="46">
        <v>3122</v>
      </c>
      <c r="E60" s="77" t="s">
        <v>247</v>
      </c>
      <c r="G60" s="76">
        <f>N49/N47</f>
        <v>2.9560114875557226E-2</v>
      </c>
    </row>
    <row r="61" spans="4:14" x14ac:dyDescent="0.25">
      <c r="D61" s="46">
        <v>3125</v>
      </c>
      <c r="E61" s="77" t="s">
        <v>248</v>
      </c>
      <c r="G61" s="76">
        <f>N51/N47</f>
        <v>5.7437778612874201E-3</v>
      </c>
    </row>
    <row r="62" spans="4:14" x14ac:dyDescent="0.25">
      <c r="D62" s="46">
        <v>1199</v>
      </c>
      <c r="E62" s="77" t="s">
        <v>250</v>
      </c>
      <c r="G62" s="76">
        <f>N52/N47</f>
        <v>0.62966078613218968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Profit &amp; Loss vs. Budget</vt:lpstr>
      <vt:lpstr>Supplies Breakout</vt:lpstr>
      <vt:lpstr>Salary Schedule</vt:lpstr>
      <vt:lpstr>Revenue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Alyssa Blitch</dc:creator>
  <cp:keywords/>
  <dc:description/>
  <cp:lastModifiedBy>Jenna Williams</cp:lastModifiedBy>
  <dcterms:created xsi:type="dcterms:W3CDTF">2024-03-20T15:15:49Z</dcterms:created>
  <dcterms:modified xsi:type="dcterms:W3CDTF">2024-04-05T20:51:30Z</dcterms:modified>
  <cp:category/>
  <cp:contentStatus/>
</cp:coreProperties>
</file>