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MMichael Files\MMICHAEL\IVY HILL PREP\Finance Committee\"/>
    </mc:Choice>
  </mc:AlternateContent>
  <xr:revisionPtr revIDLastSave="0" documentId="8_{8D3E7CD0-96E5-4A88-995B-7C68B309A5C4}" xr6:coauthVersionLast="44" xr6:coauthVersionMax="44" xr10:uidLastSave="{00000000-0000-0000-0000-000000000000}"/>
  <bookViews>
    <workbookView xWindow="-90" yWindow="-90" windowWidth="13860" windowHeight="8700" activeTab="4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Forecast" sheetId="17" r:id="rId6"/>
    <sheet name="Salaries" sheetId="18" state="hidden" r:id="rId7"/>
    <sheet name="P&amp;L (QB)" sheetId="13" state="hidden" r:id="rId8"/>
    <sheet name="Transaction Report" sheetId="15" state="hidden" r:id="rId9"/>
    <sheet name="Key Findings" sheetId="11" state="hidden" r:id="rId10"/>
    <sheet name="P&amp;L Detailed" sheetId="2" state="hidden" r:id="rId11"/>
    <sheet name="Benefits" sheetId="10" state="hidden" r:id="rId12"/>
    <sheet name="List" sheetId="3" state="hidden" r:id="rId13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xlnm._FilterDatabase" localSheetId="10" hidden="1">'P&amp;L Detailed'!$A$6:$K$142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Sheet'!$A$1:$D$41</definedName>
    <definedName name="_xlnm.Print_Area" localSheetId="4">'Budget Vs. Actuals Detail'!$B$1:$K$265</definedName>
    <definedName name="_xlnm.Print_Area" localSheetId="5">Forecast!$A$1:$K$319</definedName>
    <definedName name="_xlnm.Print_Area" localSheetId="10">'P&amp;L Detailed'!$A$1:$I$154</definedName>
    <definedName name="_xlnm.Print_Titles" localSheetId="4">'Budget Vs. Actuals Detail'!$1:$6</definedName>
    <definedName name="_xlnm.Print_Titles" localSheetId="5">Forecast!$19:$19</definedName>
    <definedName name="_xlnm.Print_Titles" localSheetId="10">'P&amp;L Detailed'!$1:$6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" i="17" l="1"/>
  <c r="G264" i="17" l="1"/>
  <c r="H264" i="17" l="1"/>
  <c r="I38" i="17"/>
  <c r="I264" i="17" l="1"/>
  <c r="J264" i="17"/>
  <c r="C30" i="17"/>
  <c r="J219" i="17" l="1"/>
  <c r="I219" i="17"/>
  <c r="H219" i="17"/>
  <c r="G219" i="17"/>
  <c r="C219" i="17"/>
  <c r="J203" i="17"/>
  <c r="I203" i="17"/>
  <c r="H203" i="17"/>
  <c r="G203" i="17"/>
  <c r="C203" i="17"/>
  <c r="J189" i="17"/>
  <c r="I189" i="17"/>
  <c r="H189" i="17"/>
  <c r="G189" i="17"/>
  <c r="C189" i="17"/>
  <c r="J182" i="17"/>
  <c r="I182" i="17"/>
  <c r="H182" i="17"/>
  <c r="G182" i="17"/>
  <c r="C182" i="17"/>
  <c r="J177" i="17"/>
  <c r="I177" i="17"/>
  <c r="H177" i="17"/>
  <c r="G177" i="17"/>
  <c r="C177" i="17"/>
  <c r="J168" i="17"/>
  <c r="I168" i="17"/>
  <c r="H168" i="17"/>
  <c r="G168" i="17"/>
  <c r="C168" i="17"/>
  <c r="J157" i="17"/>
  <c r="I157" i="17"/>
  <c r="H157" i="17"/>
  <c r="G157" i="17"/>
  <c r="C157" i="17"/>
  <c r="J153" i="17"/>
  <c r="I153" i="17"/>
  <c r="H153" i="17"/>
  <c r="G153" i="17"/>
  <c r="C153" i="17"/>
  <c r="G131" i="17"/>
  <c r="C131" i="17"/>
  <c r="C117" i="17"/>
  <c r="J100" i="17"/>
  <c r="I100" i="17"/>
  <c r="H100" i="17"/>
  <c r="G100" i="17"/>
  <c r="C100" i="17"/>
  <c r="C84" i="17"/>
  <c r="G45" i="17"/>
  <c r="C45" i="17"/>
  <c r="G39" i="17"/>
  <c r="C39" i="17"/>
  <c r="G30" i="17"/>
  <c r="B280" i="13"/>
  <c r="B281" i="13" s="1"/>
  <c r="B278" i="13"/>
  <c r="B249" i="13"/>
  <c r="B251" i="13" s="1"/>
  <c r="B245" i="13"/>
  <c r="B244" i="13"/>
  <c r="B243" i="13"/>
  <c r="B242" i="13"/>
  <c r="B241" i="13"/>
  <c r="B240" i="13"/>
  <c r="B236" i="13"/>
  <c r="B238" i="13" s="1"/>
  <c r="B230" i="13"/>
  <c r="B229" i="13"/>
  <c r="B226" i="13"/>
  <c r="B227" i="13" s="1"/>
  <c r="B224" i="13"/>
  <c r="B223" i="13"/>
  <c r="B222" i="13"/>
  <c r="B219" i="13"/>
  <c r="B220" i="13" s="1"/>
  <c r="B216" i="13"/>
  <c r="B217" i="13" s="1"/>
  <c r="B213" i="13"/>
  <c r="B214" i="13" s="1"/>
  <c r="B210" i="13"/>
  <c r="B209" i="13"/>
  <c r="B208" i="13"/>
  <c r="B205" i="13"/>
  <c r="B204" i="13"/>
  <c r="B200" i="13"/>
  <c r="B202" i="13" s="1"/>
  <c r="B198" i="13"/>
  <c r="B192" i="13"/>
  <c r="B193" i="13" s="1"/>
  <c r="B187" i="13"/>
  <c r="B186" i="13"/>
  <c r="B185" i="13"/>
  <c r="B184" i="13"/>
  <c r="B183" i="13"/>
  <c r="B182" i="13"/>
  <c r="B178" i="13"/>
  <c r="B180" i="13" s="1"/>
  <c r="B175" i="13"/>
  <c r="B174" i="13"/>
  <c r="B173" i="13"/>
  <c r="B172" i="13"/>
  <c r="B171" i="13"/>
  <c r="B168" i="13"/>
  <c r="B167" i="13"/>
  <c r="B166" i="13"/>
  <c r="B164" i="13"/>
  <c r="B162" i="13"/>
  <c r="B160" i="13"/>
  <c r="B158" i="13"/>
  <c r="B155" i="13"/>
  <c r="B151" i="13"/>
  <c r="B148" i="13"/>
  <c r="B146" i="13"/>
  <c r="B143" i="13"/>
  <c r="B142" i="13"/>
  <c r="B139" i="13"/>
  <c r="B133" i="13"/>
  <c r="B132" i="13"/>
  <c r="B128" i="13"/>
  <c r="B127" i="13"/>
  <c r="B123" i="13"/>
  <c r="B117" i="13"/>
  <c r="B116" i="13"/>
  <c r="B115" i="13"/>
  <c r="B114" i="13"/>
  <c r="B113" i="13"/>
  <c r="B110" i="13"/>
  <c r="B109" i="13"/>
  <c r="B108" i="13"/>
  <c r="B107" i="13"/>
  <c r="B106" i="13"/>
  <c r="B103" i="13"/>
  <c r="B101" i="13"/>
  <c r="B95" i="13"/>
  <c r="B94" i="13"/>
  <c r="B93" i="13"/>
  <c r="B90" i="13"/>
  <c r="B86" i="13"/>
  <c r="B85" i="13"/>
  <c r="B84" i="13"/>
  <c r="B79" i="13"/>
  <c r="B77" i="13"/>
  <c r="B70" i="13"/>
  <c r="B66" i="13"/>
  <c r="B63" i="13"/>
  <c r="B62" i="13"/>
  <c r="B59" i="13"/>
  <c r="B54" i="13"/>
  <c r="B44" i="13"/>
  <c r="B37" i="13"/>
  <c r="B38" i="13" s="1"/>
  <c r="B35" i="13"/>
  <c r="B29" i="13"/>
  <c r="B32" i="13" s="1"/>
  <c r="B25" i="13"/>
  <c r="B23" i="13"/>
  <c r="B21" i="13"/>
  <c r="B20" i="13"/>
  <c r="B19" i="13"/>
  <c r="B10" i="13"/>
  <c r="B9" i="13"/>
  <c r="B8" i="13"/>
  <c r="B169" i="13" l="1"/>
  <c r="B17" i="13"/>
  <c r="B49" i="13" s="1"/>
  <c r="B55" i="13" s="1"/>
  <c r="B144" i="13"/>
  <c r="B206" i="13"/>
  <c r="B140" i="13"/>
  <c r="B26" i="13"/>
  <c r="B71" i="13"/>
  <c r="B87" i="13"/>
  <c r="B104" i="13"/>
  <c r="B118" i="13"/>
  <c r="B176" i="13"/>
  <c r="B234" i="13"/>
  <c r="B190" i="13"/>
  <c r="B211" i="13"/>
  <c r="B247" i="13"/>
  <c r="B124" i="13" l="1"/>
  <c r="B275" i="13" s="1"/>
  <c r="B276" i="13" s="1"/>
  <c r="B282" i="13" s="1"/>
  <c r="C319" i="17" l="1"/>
  <c r="D136" i="17"/>
  <c r="D103" i="17"/>
  <c r="D48" i="17"/>
  <c r="B318" i="17" l="1"/>
  <c r="B315" i="17"/>
  <c r="B314" i="17"/>
  <c r="B311" i="17"/>
  <c r="B310" i="17"/>
  <c r="B303" i="17"/>
  <c r="B301" i="17"/>
  <c r="F242" i="14" l="1"/>
  <c r="B304" i="17" s="1"/>
  <c r="F255" i="14"/>
  <c r="B317" i="17" s="1"/>
  <c r="F254" i="14"/>
  <c r="B316" i="17" s="1"/>
  <c r="F251" i="14"/>
  <c r="B313" i="17" s="1"/>
  <c r="F250" i="14"/>
  <c r="B312" i="17" s="1"/>
  <c r="F247" i="14"/>
  <c r="B309" i="17" s="1"/>
  <c r="F246" i="14"/>
  <c r="B308" i="17" s="1"/>
  <c r="F245" i="14"/>
  <c r="B307" i="17" s="1"/>
  <c r="F244" i="14"/>
  <c r="B306" i="17" s="1"/>
  <c r="F243" i="14"/>
  <c r="B305" i="17" s="1"/>
  <c r="F240" i="14"/>
  <c r="B302" i="17" s="1"/>
  <c r="B108" i="12"/>
  <c r="B34" i="5" s="1"/>
  <c r="B107" i="12"/>
  <c r="B100" i="12"/>
  <c r="B99" i="12"/>
  <c r="B101" i="12" s="1"/>
  <c r="B28" i="5" s="1"/>
  <c r="B93" i="12"/>
  <c r="B92" i="12"/>
  <c r="B91" i="12"/>
  <c r="B87" i="12"/>
  <c r="B24" i="5" s="1"/>
  <c r="B86" i="12"/>
  <c r="B85" i="12"/>
  <c r="B84" i="12"/>
  <c r="B82" i="12"/>
  <c r="B81" i="12"/>
  <c r="B83" i="12" s="1"/>
  <c r="B76" i="12"/>
  <c r="B77" i="12" s="1"/>
  <c r="B67" i="12"/>
  <c r="B65" i="12"/>
  <c r="B62" i="12"/>
  <c r="B61" i="12"/>
  <c r="B58" i="12"/>
  <c r="B57" i="12"/>
  <c r="B54" i="12"/>
  <c r="B53" i="12"/>
  <c r="B52" i="12"/>
  <c r="B51" i="12"/>
  <c r="B50" i="12"/>
  <c r="B47" i="12"/>
  <c r="B46" i="12"/>
  <c r="B48" i="12" s="1"/>
  <c r="B41" i="12"/>
  <c r="B40" i="12"/>
  <c r="B43" i="12" s="1"/>
  <c r="B31" i="12"/>
  <c r="B28" i="12"/>
  <c r="B27" i="12"/>
  <c r="B26" i="12"/>
  <c r="B24" i="12"/>
  <c r="B23" i="12"/>
  <c r="B20" i="12"/>
  <c r="B21" i="12" s="1"/>
  <c r="B17" i="12"/>
  <c r="B14" i="12"/>
  <c r="B13" i="12"/>
  <c r="B12" i="12"/>
  <c r="B10" i="12"/>
  <c r="B33" i="5"/>
  <c r="B14" i="5"/>
  <c r="B68" i="12" l="1"/>
  <c r="B319" i="17"/>
  <c r="B15" i="12"/>
  <c r="B18" i="12" s="1"/>
  <c r="B30" i="12"/>
  <c r="B35" i="12" s="1"/>
  <c r="B36" i="12" s="1"/>
  <c r="B63" i="12"/>
  <c r="B70" i="12" s="1"/>
  <c r="B15" i="5" s="1"/>
  <c r="B109" i="12"/>
  <c r="B23" i="5"/>
  <c r="B94" i="12"/>
  <c r="B95" i="12" s="1"/>
  <c r="B102" i="12" s="1"/>
  <c r="B110" i="12" s="1"/>
  <c r="B25" i="5"/>
  <c r="B71" i="12" l="1"/>
  <c r="K301" i="17" l="1"/>
  <c r="H125" i="17"/>
  <c r="H128" i="17"/>
  <c r="I128" i="17" s="1"/>
  <c r="J128" i="17" s="1"/>
  <c r="H129" i="17"/>
  <c r="I129" i="17" s="1"/>
  <c r="J129" i="17" s="1"/>
  <c r="H130" i="17"/>
  <c r="I130" i="17" s="1"/>
  <c r="J130" i="17" s="1"/>
  <c r="H42" i="17"/>
  <c r="I42" i="17" l="1"/>
  <c r="H45" i="17"/>
  <c r="I125" i="17"/>
  <c r="H131" i="17"/>
  <c r="B263" i="17"/>
  <c r="B262" i="17"/>
  <c r="B259" i="17"/>
  <c r="B258" i="17"/>
  <c r="B257" i="17"/>
  <c r="B256" i="17"/>
  <c r="B255" i="17"/>
  <c r="B254" i="17"/>
  <c r="B253" i="17"/>
  <c r="B250" i="17"/>
  <c r="B249" i="17"/>
  <c r="B246" i="17"/>
  <c r="B245" i="17"/>
  <c r="B244" i="17"/>
  <c r="B243" i="17"/>
  <c r="B242" i="17"/>
  <c r="B239" i="17"/>
  <c r="B236" i="17"/>
  <c r="B235" i="17"/>
  <c r="B232" i="17"/>
  <c r="B229" i="17"/>
  <c r="B226" i="17"/>
  <c r="B223" i="17"/>
  <c r="B222" i="17"/>
  <c r="B221" i="17"/>
  <c r="B218" i="17"/>
  <c r="B217" i="17"/>
  <c r="B214" i="17"/>
  <c r="B213" i="17"/>
  <c r="B210" i="17"/>
  <c r="B209" i="17"/>
  <c r="B208" i="17"/>
  <c r="B205" i="17"/>
  <c r="B202" i="17"/>
  <c r="B201" i="17"/>
  <c r="B200" i="17"/>
  <c r="B199" i="17"/>
  <c r="B198" i="17"/>
  <c r="B197" i="17"/>
  <c r="B196" i="17"/>
  <c r="B195" i="17"/>
  <c r="B192" i="17"/>
  <c r="B191" i="17"/>
  <c r="B188" i="17"/>
  <c r="B187" i="17"/>
  <c r="B186" i="17"/>
  <c r="B185" i="17"/>
  <c r="B184" i="17"/>
  <c r="B181" i="17"/>
  <c r="B180" i="17"/>
  <c r="B179" i="17"/>
  <c r="B176" i="17"/>
  <c r="B175" i="17"/>
  <c r="B174" i="17"/>
  <c r="B173" i="17"/>
  <c r="B170" i="17"/>
  <c r="B171" i="17" s="1"/>
  <c r="B167" i="17"/>
  <c r="B166" i="17"/>
  <c r="B165" i="17"/>
  <c r="B164" i="17"/>
  <c r="B163" i="17"/>
  <c r="B162" i="17"/>
  <c r="B161" i="17"/>
  <c r="B160" i="17"/>
  <c r="B159" i="17"/>
  <c r="B156" i="17"/>
  <c r="B155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5" i="17"/>
  <c r="B134" i="17"/>
  <c r="B133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99" i="17"/>
  <c r="B98" i="17"/>
  <c r="B97" i="17"/>
  <c r="B96" i="17"/>
  <c r="B95" i="17"/>
  <c r="B94" i="17"/>
  <c r="B93" i="17"/>
  <c r="B92" i="17"/>
  <c r="B91" i="17"/>
  <c r="B90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66" i="17"/>
  <c r="B65" i="17"/>
  <c r="B64" i="17"/>
  <c r="B61" i="17"/>
  <c r="B60" i="17"/>
  <c r="B59" i="17"/>
  <c r="B58" i="17"/>
  <c r="B56" i="17"/>
  <c r="B55" i="17"/>
  <c r="B54" i="17"/>
  <c r="B53" i="17"/>
  <c r="B50" i="17"/>
  <c r="B51" i="17" s="1"/>
  <c r="B47" i="17"/>
  <c r="B48" i="17" s="1"/>
  <c r="B44" i="17"/>
  <c r="B43" i="17"/>
  <c r="B42" i="17"/>
  <c r="B41" i="17"/>
  <c r="B38" i="17"/>
  <c r="B37" i="17"/>
  <c r="B36" i="17"/>
  <c r="B35" i="17"/>
  <c r="B34" i="17"/>
  <c r="B33" i="17"/>
  <c r="B32" i="17"/>
  <c r="B29" i="17"/>
  <c r="B28" i="17"/>
  <c r="B27" i="17"/>
  <c r="B26" i="17"/>
  <c r="B25" i="17"/>
  <c r="B24" i="17"/>
  <c r="B23" i="17"/>
  <c r="B22" i="17"/>
  <c r="B21" i="17"/>
  <c r="C48" i="17"/>
  <c r="C62" i="17" s="1"/>
  <c r="E48" i="17"/>
  <c r="C51" i="17"/>
  <c r="C57" i="17"/>
  <c r="E57" i="17"/>
  <c r="C67" i="17"/>
  <c r="E67" i="17"/>
  <c r="B103" i="17"/>
  <c r="C103" i="17"/>
  <c r="E103" i="17"/>
  <c r="C136" i="17"/>
  <c r="C171" i="17"/>
  <c r="C193" i="17"/>
  <c r="C206" i="17"/>
  <c r="C211" i="17"/>
  <c r="C215" i="17"/>
  <c r="C224" i="17"/>
  <c r="C227" i="17"/>
  <c r="C230" i="17"/>
  <c r="C233" i="17"/>
  <c r="B157" i="17" l="1"/>
  <c r="B177" i="17"/>
  <c r="B30" i="17"/>
  <c r="B131" i="17"/>
  <c r="B189" i="17"/>
  <c r="B117" i="17"/>
  <c r="B168" i="17"/>
  <c r="B203" i="17"/>
  <c r="J125" i="17"/>
  <c r="J131" i="17" s="1"/>
  <c r="I131" i="17"/>
  <c r="C137" i="17"/>
  <c r="B39" i="17"/>
  <c r="B84" i="17"/>
  <c r="B100" i="17"/>
  <c r="B45" i="17"/>
  <c r="B153" i="17"/>
  <c r="B182" i="17"/>
  <c r="B219" i="17"/>
  <c r="J42" i="17"/>
  <c r="J45" i="17" s="1"/>
  <c r="I45" i="17"/>
  <c r="B227" i="17"/>
  <c r="B233" i="17"/>
  <c r="B215" i="17"/>
  <c r="B67" i="17"/>
  <c r="B211" i="17"/>
  <c r="B57" i="17"/>
  <c r="B136" i="17"/>
  <c r="B193" i="17"/>
  <c r="B224" i="17"/>
  <c r="C68" i="17"/>
  <c r="B230" i="17"/>
  <c r="B206" i="17"/>
  <c r="B137" i="17" l="1"/>
  <c r="B62" i="17"/>
  <c r="B68" i="17"/>
  <c r="J31" i="18" l="1"/>
  <c r="Q28" i="18"/>
  <c r="P28" i="18"/>
  <c r="O28" i="18"/>
  <c r="N28" i="18"/>
  <c r="M28" i="18"/>
  <c r="L28" i="18"/>
  <c r="K28" i="18"/>
  <c r="S27" i="18"/>
  <c r="K26" i="18"/>
  <c r="S25" i="18"/>
  <c r="L24" i="18"/>
  <c r="M24" i="18" s="1"/>
  <c r="K24" i="18"/>
  <c r="S23" i="18"/>
  <c r="K22" i="18"/>
  <c r="L22" i="18" s="1"/>
  <c r="K21" i="18"/>
  <c r="L21" i="18" s="1"/>
  <c r="M21" i="18" s="1"/>
  <c r="N21" i="18" s="1"/>
  <c r="O21" i="18" s="1"/>
  <c r="P21" i="18" s="1"/>
  <c r="Q21" i="18" s="1"/>
  <c r="K20" i="18"/>
  <c r="L20" i="18" s="1"/>
  <c r="M20" i="18" s="1"/>
  <c r="N20" i="18" s="1"/>
  <c r="O20" i="18" s="1"/>
  <c r="P20" i="18" s="1"/>
  <c r="Q20" i="18" s="1"/>
  <c r="K19" i="18"/>
  <c r="L19" i="18" s="1"/>
  <c r="K18" i="18"/>
  <c r="L18" i="18" s="1"/>
  <c r="M18" i="18" s="1"/>
  <c r="N18" i="18" s="1"/>
  <c r="O18" i="18" s="1"/>
  <c r="P18" i="18" s="1"/>
  <c r="Q18" i="18" s="1"/>
  <c r="L17" i="18"/>
  <c r="M17" i="18" s="1"/>
  <c r="K17" i="18"/>
  <c r="K16" i="18"/>
  <c r="L16" i="18" s="1"/>
  <c r="K15" i="18"/>
  <c r="S14" i="18"/>
  <c r="K13" i="18"/>
  <c r="L13" i="18" s="1"/>
  <c r="M13" i="18" s="1"/>
  <c r="N13" i="18" s="1"/>
  <c r="O13" i="18" s="1"/>
  <c r="P13" i="18" s="1"/>
  <c r="K12" i="18"/>
  <c r="L12" i="18" s="1"/>
  <c r="M12" i="18" s="1"/>
  <c r="N12" i="18" s="1"/>
  <c r="O12" i="18" s="1"/>
  <c r="P12" i="18" s="1"/>
  <c r="S11" i="18"/>
  <c r="K10" i="18"/>
  <c r="L10" i="18" s="1"/>
  <c r="K9" i="18"/>
  <c r="L9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8" i="18"/>
  <c r="L8" i="18" s="1"/>
  <c r="K294" i="17"/>
  <c r="K293" i="17"/>
  <c r="K291" i="17"/>
  <c r="B291" i="17"/>
  <c r="B293" i="17" s="1"/>
  <c r="B294" i="17" s="1"/>
  <c r="XEV288" i="17"/>
  <c r="XEV289" i="17" s="1"/>
  <c r="C264" i="17"/>
  <c r="K263" i="17"/>
  <c r="D263" i="17" s="1"/>
  <c r="E263" i="17" s="1"/>
  <c r="C260" i="17"/>
  <c r="K259" i="17"/>
  <c r="K254" i="17"/>
  <c r="D254" i="17" s="1"/>
  <c r="C251" i="17"/>
  <c r="K250" i="17"/>
  <c r="B251" i="17"/>
  <c r="C247" i="17"/>
  <c r="K246" i="17"/>
  <c r="K245" i="17"/>
  <c r="K243" i="17"/>
  <c r="D243" i="17" s="1"/>
  <c r="J240" i="17"/>
  <c r="I240" i="17"/>
  <c r="H240" i="17"/>
  <c r="G240" i="17"/>
  <c r="C240" i="17"/>
  <c r="K239" i="17"/>
  <c r="B240" i="17"/>
  <c r="C237" i="17"/>
  <c r="K214" i="17"/>
  <c r="J211" i="17"/>
  <c r="I211" i="17"/>
  <c r="H211" i="17"/>
  <c r="G211" i="17"/>
  <c r="K210" i="17"/>
  <c r="K209" i="17"/>
  <c r="K208" i="17"/>
  <c r="D208" i="17" s="1"/>
  <c r="K202" i="17"/>
  <c r="K201" i="17"/>
  <c r="K200" i="17"/>
  <c r="K192" i="17"/>
  <c r="K188" i="17"/>
  <c r="K186" i="17"/>
  <c r="K185" i="17"/>
  <c r="D185" i="17" s="1"/>
  <c r="K176" i="17"/>
  <c r="K174" i="17"/>
  <c r="J171" i="17"/>
  <c r="I171" i="17"/>
  <c r="H171" i="17"/>
  <c r="G171" i="17"/>
  <c r="K170" i="17"/>
  <c r="D170" i="17" s="1"/>
  <c r="D171" i="17" s="1"/>
  <c r="K167" i="17"/>
  <c r="K166" i="17"/>
  <c r="K165" i="17"/>
  <c r="K164" i="17"/>
  <c r="K163" i="17"/>
  <c r="K162" i="17"/>
  <c r="K161" i="17"/>
  <c r="K160" i="17"/>
  <c r="K152" i="17"/>
  <c r="K151" i="17"/>
  <c r="K150" i="17"/>
  <c r="K149" i="17"/>
  <c r="K148" i="17"/>
  <c r="K147" i="17"/>
  <c r="K146" i="17"/>
  <c r="K144" i="17"/>
  <c r="K143" i="17"/>
  <c r="K142" i="17"/>
  <c r="D142" i="17" s="1"/>
  <c r="K139" i="17"/>
  <c r="J136" i="17"/>
  <c r="I136" i="17"/>
  <c r="H136" i="17"/>
  <c r="G136" i="17"/>
  <c r="K135" i="17"/>
  <c r="E135" i="17" s="1"/>
  <c r="K134" i="17"/>
  <c r="K133" i="17"/>
  <c r="E133" i="17" s="1"/>
  <c r="K130" i="17"/>
  <c r="D130" i="17" s="1"/>
  <c r="K129" i="17"/>
  <c r="D129" i="17" s="1"/>
  <c r="K128" i="17"/>
  <c r="D128" i="17" s="1"/>
  <c r="K127" i="17"/>
  <c r="D127" i="17" s="1"/>
  <c r="K126" i="17"/>
  <c r="D126" i="17" s="1"/>
  <c r="K125" i="17"/>
  <c r="D125" i="17" s="1"/>
  <c r="K124" i="17"/>
  <c r="D124" i="17" s="1"/>
  <c r="K122" i="17"/>
  <c r="D122" i="17" s="1"/>
  <c r="K115" i="17"/>
  <c r="K113" i="17"/>
  <c r="K112" i="17"/>
  <c r="K111" i="17"/>
  <c r="K110" i="17"/>
  <c r="K109" i="17"/>
  <c r="K105" i="17"/>
  <c r="J103" i="17"/>
  <c r="I103" i="17"/>
  <c r="H103" i="17"/>
  <c r="G103" i="17"/>
  <c r="K102" i="17"/>
  <c r="K103" i="17" s="1"/>
  <c r="K96" i="17"/>
  <c r="K95" i="17"/>
  <c r="K94" i="17"/>
  <c r="K93" i="17"/>
  <c r="K91" i="17"/>
  <c r="K89" i="17"/>
  <c r="E89" i="17" s="1"/>
  <c r="K88" i="17"/>
  <c r="E88" i="17" s="1"/>
  <c r="K87" i="17"/>
  <c r="E87" i="17" s="1"/>
  <c r="K86" i="17"/>
  <c r="K82" i="17"/>
  <c r="K81" i="17"/>
  <c r="K80" i="17"/>
  <c r="K78" i="17"/>
  <c r="K77" i="17"/>
  <c r="K74" i="17"/>
  <c r="K73" i="17"/>
  <c r="J67" i="17"/>
  <c r="I67" i="17"/>
  <c r="H67" i="17"/>
  <c r="G67" i="17"/>
  <c r="K66" i="17"/>
  <c r="K65" i="17"/>
  <c r="K64" i="17"/>
  <c r="K61" i="17"/>
  <c r="K60" i="17"/>
  <c r="K59" i="17"/>
  <c r="J57" i="17"/>
  <c r="I57" i="17"/>
  <c r="H57" i="17"/>
  <c r="G57" i="17"/>
  <c r="K56" i="17"/>
  <c r="K55" i="17"/>
  <c r="K54" i="17"/>
  <c r="K53" i="17"/>
  <c r="J51" i="17"/>
  <c r="I51" i="17"/>
  <c r="H51" i="17"/>
  <c r="G51" i="17"/>
  <c r="K50" i="17"/>
  <c r="D50" i="17" s="1"/>
  <c r="D51" i="17" s="1"/>
  <c r="J48" i="17"/>
  <c r="I48" i="17"/>
  <c r="H48" i="17"/>
  <c r="G48" i="17"/>
  <c r="G62" i="17" s="1"/>
  <c r="G6" i="17" s="1"/>
  <c r="K47" i="17"/>
  <c r="K48" i="17" s="1"/>
  <c r="K44" i="17"/>
  <c r="D44" i="17" s="1"/>
  <c r="K43" i="17"/>
  <c r="D43" i="17" s="1"/>
  <c r="K42" i="17"/>
  <c r="K41" i="17"/>
  <c r="K38" i="17"/>
  <c r="D38" i="17" s="1"/>
  <c r="K37" i="17"/>
  <c r="K35" i="17"/>
  <c r="K32" i="17"/>
  <c r="K29" i="17"/>
  <c r="K28" i="17"/>
  <c r="D28" i="17" s="1"/>
  <c r="K27" i="17"/>
  <c r="K26" i="17"/>
  <c r="K25" i="17"/>
  <c r="K24" i="17"/>
  <c r="H23" i="17"/>
  <c r="I23" i="17" s="1"/>
  <c r="J23" i="17" s="1"/>
  <c r="D112" i="17" l="1"/>
  <c r="E112" i="17" s="1"/>
  <c r="D148" i="17"/>
  <c r="E148" i="17" s="1"/>
  <c r="E26" i="17"/>
  <c r="D26" i="17"/>
  <c r="D37" i="17"/>
  <c r="E37" i="17" s="1"/>
  <c r="D95" i="17"/>
  <c r="E95" i="17" s="1"/>
  <c r="E113" i="17"/>
  <c r="D113" i="17"/>
  <c r="D149" i="17"/>
  <c r="E149" i="17" s="1"/>
  <c r="D162" i="17"/>
  <c r="E162" i="17" s="1"/>
  <c r="E176" i="17"/>
  <c r="D176" i="17"/>
  <c r="D201" i="17"/>
  <c r="E201" i="17" s="1"/>
  <c r="K240" i="17"/>
  <c r="D239" i="17"/>
  <c r="D240" i="17" s="1"/>
  <c r="L26" i="18"/>
  <c r="M26" i="18" s="1"/>
  <c r="N26" i="18" s="1"/>
  <c r="O26" i="18" s="1"/>
  <c r="P26" i="18" s="1"/>
  <c r="Q26" i="18" s="1"/>
  <c r="D200" i="17"/>
  <c r="E200" i="17" s="1"/>
  <c r="D250" i="17"/>
  <c r="E250" i="17" s="1"/>
  <c r="D96" i="17"/>
  <c r="E96" i="17" s="1"/>
  <c r="D115" i="17"/>
  <c r="E115" i="17" s="1"/>
  <c r="D143" i="17"/>
  <c r="E143" i="17" s="1"/>
  <c r="D150" i="17"/>
  <c r="E150" i="17" s="1"/>
  <c r="D163" i="17"/>
  <c r="E163" i="17" s="1"/>
  <c r="D202" i="17"/>
  <c r="E202" i="17" s="1"/>
  <c r="D245" i="17"/>
  <c r="E245" i="17" s="1"/>
  <c r="D139" i="17"/>
  <c r="E139" i="17" s="1"/>
  <c r="D161" i="17"/>
  <c r="E161" i="17" s="1"/>
  <c r="D174" i="17"/>
  <c r="E174" i="17" s="1"/>
  <c r="D41" i="17"/>
  <c r="K45" i="17"/>
  <c r="D109" i="17"/>
  <c r="E109" i="17" s="1"/>
  <c r="D144" i="17"/>
  <c r="E144" i="17" s="1"/>
  <c r="D151" i="17"/>
  <c r="E151" i="17" s="1"/>
  <c r="D164" i="17"/>
  <c r="E164" i="17" s="1"/>
  <c r="D186" i="17"/>
  <c r="E186" i="17" s="1"/>
  <c r="D246" i="17"/>
  <c r="E246" i="17" s="1"/>
  <c r="D259" i="17"/>
  <c r="E259" i="17" s="1"/>
  <c r="S28" i="18"/>
  <c r="D25" i="17"/>
  <c r="E25" i="17" s="1"/>
  <c r="D167" i="17"/>
  <c r="E167" i="17" s="1"/>
  <c r="D29" i="17"/>
  <c r="E29" i="17" s="1"/>
  <c r="D42" i="17"/>
  <c r="E42" i="17" s="1"/>
  <c r="E45" i="17" s="1"/>
  <c r="D91" i="17"/>
  <c r="E91" i="17" s="1"/>
  <c r="D110" i="17"/>
  <c r="E110" i="17" s="1"/>
  <c r="D146" i="17"/>
  <c r="E146" i="17" s="1"/>
  <c r="D152" i="17"/>
  <c r="E152" i="17" s="1"/>
  <c r="D165" i="17"/>
  <c r="E165" i="17" s="1"/>
  <c r="D188" i="17"/>
  <c r="E188" i="17" s="1"/>
  <c r="D209" i="17"/>
  <c r="D214" i="17"/>
  <c r="E214" i="17" s="1"/>
  <c r="D94" i="17"/>
  <c r="E94" i="17" s="1"/>
  <c r="D27" i="17"/>
  <c r="E27" i="17" s="1"/>
  <c r="D24" i="17"/>
  <c r="E24" i="17" s="1"/>
  <c r="D32" i="17"/>
  <c r="E32" i="17" s="1"/>
  <c r="D93" i="17"/>
  <c r="E93" i="17" s="1"/>
  <c r="D111" i="17"/>
  <c r="E111" i="17" s="1"/>
  <c r="D147" i="17"/>
  <c r="E147" i="17" s="1"/>
  <c r="D160" i="17"/>
  <c r="D166" i="17"/>
  <c r="E166" i="17" s="1"/>
  <c r="D192" i="17"/>
  <c r="E192" i="17" s="1"/>
  <c r="D210" i="17"/>
  <c r="E210" i="17" s="1"/>
  <c r="C288" i="17"/>
  <c r="C289" i="17" s="1"/>
  <c r="D35" i="17"/>
  <c r="E142" i="17"/>
  <c r="D74" i="17"/>
  <c r="E74" i="17" s="1"/>
  <c r="D80" i="17"/>
  <c r="E80" i="17" s="1"/>
  <c r="D81" i="17"/>
  <c r="E81" i="17" s="1"/>
  <c r="D78" i="17"/>
  <c r="E78" i="17" s="1"/>
  <c r="D82" i="17"/>
  <c r="E82" i="17" s="1"/>
  <c r="D77" i="17"/>
  <c r="E77" i="17" s="1"/>
  <c r="D73" i="17"/>
  <c r="E73" i="17" s="1"/>
  <c r="E38" i="17"/>
  <c r="E28" i="17"/>
  <c r="E126" i="17"/>
  <c r="E127" i="17"/>
  <c r="E122" i="17"/>
  <c r="E124" i="17"/>
  <c r="E125" i="17"/>
  <c r="E130" i="17"/>
  <c r="E129" i="17"/>
  <c r="E128" i="17"/>
  <c r="E134" i="17"/>
  <c r="E136" i="17" s="1"/>
  <c r="K51" i="17"/>
  <c r="E208" i="17"/>
  <c r="E170" i="17"/>
  <c r="E171" i="17" s="1"/>
  <c r="E86" i="17"/>
  <c r="E254" i="17"/>
  <c r="B264" i="17"/>
  <c r="K171" i="17"/>
  <c r="K211" i="17"/>
  <c r="K258" i="17"/>
  <c r="G193" i="17"/>
  <c r="G251" i="17"/>
  <c r="B237" i="17"/>
  <c r="E243" i="17"/>
  <c r="K57" i="17"/>
  <c r="K136" i="17"/>
  <c r="K199" i="17"/>
  <c r="D199" i="17" s="1"/>
  <c r="B260" i="17"/>
  <c r="K75" i="17"/>
  <c r="K67" i="17"/>
  <c r="K99" i="17"/>
  <c r="K98" i="17"/>
  <c r="K97" i="17"/>
  <c r="K79" i="17"/>
  <c r="K76" i="17"/>
  <c r="K92" i="17"/>
  <c r="M16" i="18"/>
  <c r="N16" i="18" s="1"/>
  <c r="O16" i="18" s="1"/>
  <c r="P16" i="18" s="1"/>
  <c r="Q16" i="18" s="1"/>
  <c r="M9" i="18"/>
  <c r="N9" i="18" s="1"/>
  <c r="O9" i="18" s="1"/>
  <c r="P9" i="18" s="1"/>
  <c r="S9" i="18"/>
  <c r="M19" i="18"/>
  <c r="N19" i="18" s="1"/>
  <c r="O19" i="18" s="1"/>
  <c r="P19" i="18" s="1"/>
  <c r="Q19" i="18" s="1"/>
  <c r="N24" i="18"/>
  <c r="O24" i="18" s="1"/>
  <c r="P24" i="18" s="1"/>
  <c r="Q24" i="18" s="1"/>
  <c r="M10" i="18"/>
  <c r="N10" i="18" s="1"/>
  <c r="O10" i="18" s="1"/>
  <c r="P10" i="18" s="1"/>
  <c r="N17" i="18"/>
  <c r="O17" i="18" s="1"/>
  <c r="P17" i="18" s="1"/>
  <c r="Q17" i="18" s="1"/>
  <c r="S17" i="18"/>
  <c r="S20" i="18"/>
  <c r="M8" i="18"/>
  <c r="L15" i="18"/>
  <c r="M15" i="18" s="1"/>
  <c r="N15" i="18" s="1"/>
  <c r="O15" i="18" s="1"/>
  <c r="P15" i="18" s="1"/>
  <c r="Q15" i="18" s="1"/>
  <c r="M22" i="18"/>
  <c r="N22" i="18" s="1"/>
  <c r="O22" i="18" s="1"/>
  <c r="P22" i="18" s="1"/>
  <c r="Q22" i="18" s="1"/>
  <c r="K31" i="18"/>
  <c r="S18" i="18"/>
  <c r="S12" i="18"/>
  <c r="S13" i="18"/>
  <c r="S21" i="18"/>
  <c r="H22" i="17"/>
  <c r="I22" i="17" s="1"/>
  <c r="J22" i="17" s="1"/>
  <c r="K23" i="17"/>
  <c r="K36" i="17"/>
  <c r="K120" i="17"/>
  <c r="D120" i="17" s="1"/>
  <c r="K196" i="17"/>
  <c r="K257" i="17"/>
  <c r="K121" i="17"/>
  <c r="D121" i="17" s="1"/>
  <c r="B247" i="17"/>
  <c r="H244" i="17"/>
  <c r="I244" i="17" s="1"/>
  <c r="J244" i="17" s="1"/>
  <c r="K156" i="17"/>
  <c r="K90" i="17"/>
  <c r="D90" i="17" s="1"/>
  <c r="S22" i="18" l="1"/>
  <c r="D211" i="17"/>
  <c r="E239" i="17"/>
  <c r="E240" i="17" s="1"/>
  <c r="S26" i="18"/>
  <c r="D257" i="17"/>
  <c r="E257" i="17" s="1"/>
  <c r="S10" i="18"/>
  <c r="D97" i="17"/>
  <c r="E209" i="17"/>
  <c r="D92" i="17"/>
  <c r="E92" i="17" s="1"/>
  <c r="L31" i="18"/>
  <c r="E98" i="17"/>
  <c r="D98" i="17"/>
  <c r="E211" i="17"/>
  <c r="D23" i="17"/>
  <c r="E23" i="17" s="1"/>
  <c r="D196" i="17"/>
  <c r="E196" i="17" s="1"/>
  <c r="S15" i="18"/>
  <c r="D258" i="17"/>
  <c r="E258" i="17" s="1"/>
  <c r="D45" i="17"/>
  <c r="D156" i="17"/>
  <c r="E90" i="17"/>
  <c r="K100" i="17"/>
  <c r="D36" i="17"/>
  <c r="E35" i="17"/>
  <c r="D75" i="17"/>
  <c r="E75" i="17" s="1"/>
  <c r="D76" i="17"/>
  <c r="E76" i="17" s="1"/>
  <c r="D79" i="17"/>
  <c r="E79" i="17" s="1"/>
  <c r="E185" i="17"/>
  <c r="E199" i="17"/>
  <c r="E120" i="17"/>
  <c r="E121" i="17"/>
  <c r="E50" i="17"/>
  <c r="E51" i="17" s="1"/>
  <c r="K223" i="17"/>
  <c r="K116" i="17"/>
  <c r="K222" i="17"/>
  <c r="D222" i="17" s="1"/>
  <c r="C295" i="17"/>
  <c r="B288" i="17"/>
  <c r="I247" i="17"/>
  <c r="K218" i="17"/>
  <c r="D218" i="17" s="1"/>
  <c r="K141" i="17"/>
  <c r="D141" i="17" s="1"/>
  <c r="K256" i="17"/>
  <c r="D256" i="17" s="1"/>
  <c r="G247" i="17"/>
  <c r="H251" i="17"/>
  <c r="K255" i="17"/>
  <c r="H247" i="17"/>
  <c r="K244" i="17"/>
  <c r="D244" i="17" s="1"/>
  <c r="K114" i="17"/>
  <c r="D114" i="17" s="1"/>
  <c r="K236" i="17"/>
  <c r="D236" i="17" s="1"/>
  <c r="K123" i="17"/>
  <c r="D123" i="17" s="1"/>
  <c r="H193" i="17"/>
  <c r="S19" i="18"/>
  <c r="Q31" i="18"/>
  <c r="N8" i="18"/>
  <c r="M31" i="18"/>
  <c r="S24" i="18"/>
  <c r="S16" i="18"/>
  <c r="K34" i="17"/>
  <c r="H260" i="17"/>
  <c r="K145" i="17"/>
  <c r="K198" i="17"/>
  <c r="D198" i="17" s="1"/>
  <c r="G260" i="17"/>
  <c r="J247" i="17"/>
  <c r="K242" i="17"/>
  <c r="K187" i="17"/>
  <c r="D187" i="17" s="1"/>
  <c r="K175" i="17"/>
  <c r="G224" i="17"/>
  <c r="G237" i="17"/>
  <c r="H39" i="17"/>
  <c r="K22" i="17"/>
  <c r="D100" i="17" l="1"/>
  <c r="D175" i="17"/>
  <c r="E175" i="17" s="1"/>
  <c r="E97" i="17"/>
  <c r="D116" i="17"/>
  <c r="E116" i="17" s="1"/>
  <c r="D22" i="17"/>
  <c r="E22" i="17" s="1"/>
  <c r="D223" i="17"/>
  <c r="E223" i="17" s="1"/>
  <c r="D145" i="17"/>
  <c r="E145" i="17" s="1"/>
  <c r="D242" i="17"/>
  <c r="D247" i="17" s="1"/>
  <c r="D255" i="17"/>
  <c r="E255" i="17" s="1"/>
  <c r="E100" i="17"/>
  <c r="B289" i="17"/>
  <c r="B295" i="17" s="1"/>
  <c r="E156" i="17"/>
  <c r="D34" i="17"/>
  <c r="E34" i="17" s="1"/>
  <c r="E36" i="17"/>
  <c r="E256" i="17"/>
  <c r="E244" i="17"/>
  <c r="E236" i="17"/>
  <c r="E222" i="17"/>
  <c r="E198" i="17"/>
  <c r="E123" i="17"/>
  <c r="E114" i="17"/>
  <c r="E187" i="17"/>
  <c r="E141" i="17"/>
  <c r="E218" i="17"/>
  <c r="J251" i="17"/>
  <c r="I251" i="17"/>
  <c r="I193" i="17"/>
  <c r="J193" i="17"/>
  <c r="O8" i="18"/>
  <c r="N31" i="18"/>
  <c r="G206" i="17"/>
  <c r="I39" i="17"/>
  <c r="H30" i="17"/>
  <c r="H62" i="17" s="1"/>
  <c r="G68" i="17"/>
  <c r="G215" i="17"/>
  <c r="G233" i="17"/>
  <c r="J260" i="17"/>
  <c r="I260" i="17"/>
  <c r="G227" i="17"/>
  <c r="H237" i="17"/>
  <c r="H224" i="17"/>
  <c r="K181" i="17"/>
  <c r="K247" i="17"/>
  <c r="D181" i="17" l="1"/>
  <c r="E181" i="17" s="1"/>
  <c r="H6" i="17"/>
  <c r="K249" i="17"/>
  <c r="K191" i="17"/>
  <c r="D191" i="17" s="1"/>
  <c r="D193" i="17" s="1"/>
  <c r="K253" i="17"/>
  <c r="D253" i="17" s="1"/>
  <c r="D260" i="17" s="1"/>
  <c r="O31" i="18"/>
  <c r="P8" i="18"/>
  <c r="P31" i="18" s="1"/>
  <c r="S8" i="18"/>
  <c r="S31" i="18" s="1"/>
  <c r="J224" i="17"/>
  <c r="I224" i="17"/>
  <c r="G230" i="17"/>
  <c r="K119" i="17"/>
  <c r="D119" i="17" s="1"/>
  <c r="H215" i="17"/>
  <c r="E242" i="17"/>
  <c r="E247" i="17" s="1"/>
  <c r="I30" i="17"/>
  <c r="I62" i="17" s="1"/>
  <c r="H68" i="17"/>
  <c r="H206" i="17"/>
  <c r="H227" i="17"/>
  <c r="H233" i="17"/>
  <c r="K179" i="17"/>
  <c r="D179" i="17" s="1"/>
  <c r="I237" i="17"/>
  <c r="J237" i="17"/>
  <c r="J39" i="17"/>
  <c r="D249" i="17" l="1"/>
  <c r="D251" i="17" s="1"/>
  <c r="E179" i="17"/>
  <c r="D131" i="17"/>
  <c r="K131" i="17"/>
  <c r="I6" i="17"/>
  <c r="K251" i="17"/>
  <c r="E191" i="17"/>
  <c r="E193" i="17" s="1"/>
  <c r="K33" i="17"/>
  <c r="K235" i="17"/>
  <c r="D235" i="17" s="1"/>
  <c r="D237" i="17" s="1"/>
  <c r="K260" i="17"/>
  <c r="K221" i="17"/>
  <c r="D221" i="17" s="1"/>
  <c r="D224" i="17" s="1"/>
  <c r="K193" i="17"/>
  <c r="H230" i="17"/>
  <c r="J233" i="17"/>
  <c r="I233" i="17"/>
  <c r="K184" i="17"/>
  <c r="I206" i="17"/>
  <c r="I215" i="17"/>
  <c r="I227" i="17"/>
  <c r="J30" i="17"/>
  <c r="J62" i="17" s="1"/>
  <c r="I68" i="17"/>
  <c r="K140" i="17"/>
  <c r="D140" i="17" s="1"/>
  <c r="E253" i="17"/>
  <c r="E260" i="17" s="1"/>
  <c r="K189" i="17" l="1"/>
  <c r="D184" i="17"/>
  <c r="D189" i="17" s="1"/>
  <c r="E249" i="17"/>
  <c r="E251" i="17" s="1"/>
  <c r="D33" i="17"/>
  <c r="K39" i="17"/>
  <c r="E119" i="17"/>
  <c r="E131" i="17" s="1"/>
  <c r="D153" i="17"/>
  <c r="K153" i="17"/>
  <c r="J6" i="17"/>
  <c r="E184" i="17"/>
  <c r="E189" i="17" s="1"/>
  <c r="E140" i="17"/>
  <c r="E153" i="17" s="1"/>
  <c r="E221" i="17"/>
  <c r="E224" i="17" s="1"/>
  <c r="K237" i="17"/>
  <c r="E235" i="17"/>
  <c r="E237" i="17" s="1"/>
  <c r="K232" i="17"/>
  <c r="D232" i="17" s="1"/>
  <c r="D233" i="17" s="1"/>
  <c r="K224" i="17"/>
  <c r="K262" i="17"/>
  <c r="K217" i="17"/>
  <c r="J206" i="17"/>
  <c r="K205" i="17"/>
  <c r="D205" i="17" s="1"/>
  <c r="D206" i="17" s="1"/>
  <c r="K155" i="17"/>
  <c r="K106" i="17"/>
  <c r="D106" i="17" s="1"/>
  <c r="J227" i="17"/>
  <c r="K226" i="17"/>
  <c r="D226" i="17" s="1"/>
  <c r="D227" i="17" s="1"/>
  <c r="K159" i="17"/>
  <c r="J68" i="17"/>
  <c r="K21" i="17"/>
  <c r="J215" i="17"/>
  <c r="K213" i="17"/>
  <c r="D213" i="17" s="1"/>
  <c r="D215" i="17" s="1"/>
  <c r="I230" i="17"/>
  <c r="K219" i="17" l="1"/>
  <c r="D217" i="17"/>
  <c r="D219" i="17" s="1"/>
  <c r="K30" i="17"/>
  <c r="D21" i="17"/>
  <c r="D30" i="17" s="1"/>
  <c r="K264" i="17"/>
  <c r="D262" i="17"/>
  <c r="K168" i="17"/>
  <c r="D159" i="17"/>
  <c r="D168" i="17" s="1"/>
  <c r="K157" i="17"/>
  <c r="D155" i="17"/>
  <c r="D157" i="17" s="1"/>
  <c r="K62" i="17"/>
  <c r="K68" i="17" s="1"/>
  <c r="E33" i="17"/>
  <c r="E39" i="17" s="1"/>
  <c r="D39" i="17"/>
  <c r="K233" i="17"/>
  <c r="E217" i="17"/>
  <c r="E219" i="17" s="1"/>
  <c r="E213" i="17"/>
  <c r="E215" i="17" s="1"/>
  <c r="E106" i="17"/>
  <c r="E232" i="17"/>
  <c r="E233" i="17" s="1"/>
  <c r="E226" i="17"/>
  <c r="E227" i="17" s="1"/>
  <c r="E205" i="17"/>
  <c r="E206" i="17" s="1"/>
  <c r="K215" i="17"/>
  <c r="K227" i="17"/>
  <c r="K206" i="17"/>
  <c r="K180" i="17"/>
  <c r="J230" i="17"/>
  <c r="K229" i="17"/>
  <c r="D229" i="17" s="1"/>
  <c r="D230" i="17" s="1"/>
  <c r="K173" i="17"/>
  <c r="F6" i="14"/>
  <c r="E159" i="17" l="1"/>
  <c r="K177" i="17"/>
  <c r="D173" i="17"/>
  <c r="D177" i="17" s="1"/>
  <c r="E262" i="17"/>
  <c r="E264" i="17" s="1"/>
  <c r="D264" i="17"/>
  <c r="K182" i="17"/>
  <c r="D180" i="17"/>
  <c r="D182" i="17" s="1"/>
  <c r="E21" i="17"/>
  <c r="D62" i="17"/>
  <c r="E155" i="17"/>
  <c r="E157" i="17" s="1"/>
  <c r="E30" i="17"/>
  <c r="E62" i="17" s="1"/>
  <c r="E68" i="17" s="1"/>
  <c r="E229" i="17"/>
  <c r="E230" i="17" s="1"/>
  <c r="K230" i="17"/>
  <c r="H33" i="14"/>
  <c r="E173" i="17" l="1"/>
  <c r="E177" i="17" s="1"/>
  <c r="E180" i="17"/>
  <c r="E182" i="17" s="1"/>
  <c r="K251" i="14"/>
  <c r="K250" i="14"/>
  <c r="K247" i="14"/>
  <c r="K246" i="14"/>
  <c r="K245" i="14"/>
  <c r="K244" i="14"/>
  <c r="K243" i="14"/>
  <c r="K242" i="14"/>
  <c r="K241" i="14"/>
  <c r="K240" i="14"/>
  <c r="F105" i="14"/>
  <c r="I105" i="14" s="1"/>
  <c r="F227" i="14"/>
  <c r="F206" i="14"/>
  <c r="F197" i="14"/>
  <c r="F198" i="14" s="1"/>
  <c r="F194" i="14"/>
  <c r="F172" i="14"/>
  <c r="F161" i="14"/>
  <c r="F159" i="14"/>
  <c r="F139" i="14"/>
  <c r="F122" i="14"/>
  <c r="F96" i="14"/>
  <c r="F81" i="14"/>
  <c r="F213" i="14"/>
  <c r="F232" i="14"/>
  <c r="F263" i="14" s="1"/>
  <c r="F225" i="14"/>
  <c r="F226" i="14"/>
  <c r="F228" i="14"/>
  <c r="F229" i="14"/>
  <c r="F221" i="14"/>
  <c r="F214" i="14"/>
  <c r="F210" i="14"/>
  <c r="F207" i="14"/>
  <c r="F203" i="14"/>
  <c r="F200" i="14"/>
  <c r="F193" i="14"/>
  <c r="K193" i="14" s="1"/>
  <c r="F192" i="14"/>
  <c r="K192" i="14" s="1"/>
  <c r="F189" i="14"/>
  <c r="F188" i="14"/>
  <c r="F184" i="14"/>
  <c r="F181" i="14"/>
  <c r="F180" i="14"/>
  <c r="F177" i="14"/>
  <c r="I177" i="14" s="1"/>
  <c r="F171" i="14"/>
  <c r="F173" i="14"/>
  <c r="F174" i="14"/>
  <c r="F170" i="14"/>
  <c r="F167" i="14"/>
  <c r="F166" i="14"/>
  <c r="F160" i="14"/>
  <c r="F162" i="14"/>
  <c r="F163" i="14"/>
  <c r="F155" i="14"/>
  <c r="F156" i="14"/>
  <c r="F154" i="14"/>
  <c r="K154" i="14" s="1"/>
  <c r="F149" i="14"/>
  <c r="F150" i="14"/>
  <c r="F151" i="14"/>
  <c r="F148" i="14"/>
  <c r="I148" i="14" s="1"/>
  <c r="F145" i="14"/>
  <c r="I145" i="14" s="1"/>
  <c r="F140" i="14"/>
  <c r="F141" i="14"/>
  <c r="F142" i="14"/>
  <c r="F137" i="14"/>
  <c r="F138" i="14"/>
  <c r="F136" i="14"/>
  <c r="F132" i="14"/>
  <c r="F121" i="14"/>
  <c r="F123" i="14"/>
  <c r="F124" i="14"/>
  <c r="F125" i="14"/>
  <c r="F126" i="14"/>
  <c r="K126" i="14" s="1"/>
  <c r="F127" i="14"/>
  <c r="F128" i="14"/>
  <c r="F129" i="14"/>
  <c r="I129" i="14" s="1"/>
  <c r="F117" i="14"/>
  <c r="F118" i="14"/>
  <c r="F119" i="14"/>
  <c r="K119" i="14" s="1"/>
  <c r="F120" i="14"/>
  <c r="F116" i="14"/>
  <c r="F111" i="14"/>
  <c r="F112" i="14"/>
  <c r="F110" i="14"/>
  <c r="F107" i="14"/>
  <c r="F104" i="14"/>
  <c r="F101" i="14"/>
  <c r="F98" i="14"/>
  <c r="F89" i="14"/>
  <c r="F90" i="14"/>
  <c r="F88" i="14"/>
  <c r="F87" i="14"/>
  <c r="F84" i="14"/>
  <c r="F85" i="14" s="1"/>
  <c r="F80" i="14"/>
  <c r="F79" i="14"/>
  <c r="F78" i="14"/>
  <c r="F77" i="14"/>
  <c r="F76" i="14"/>
  <c r="F75" i="14"/>
  <c r="F69" i="14"/>
  <c r="F70" i="14"/>
  <c r="F71" i="14"/>
  <c r="F72" i="14"/>
  <c r="F68" i="14"/>
  <c r="F67" i="14"/>
  <c r="F66" i="14"/>
  <c r="F65" i="14"/>
  <c r="F63" i="14"/>
  <c r="F53" i="14"/>
  <c r="F54" i="14"/>
  <c r="K54" i="14" s="1"/>
  <c r="F52" i="14"/>
  <c r="K52" i="14" s="1"/>
  <c r="F49" i="14"/>
  <c r="F46" i="14"/>
  <c r="F47" i="14" s="1"/>
  <c r="F43" i="14"/>
  <c r="F42" i="14"/>
  <c r="K42" i="14" s="1"/>
  <c r="K44" i="14" s="1"/>
  <c r="F34" i="14"/>
  <c r="F35" i="14"/>
  <c r="F36" i="14"/>
  <c r="F37" i="14"/>
  <c r="F38" i="14"/>
  <c r="F39" i="14"/>
  <c r="F33" i="14"/>
  <c r="F26" i="14"/>
  <c r="F27" i="14"/>
  <c r="F28" i="14"/>
  <c r="F29" i="14"/>
  <c r="F30" i="14"/>
  <c r="F25" i="14"/>
  <c r="F24" i="14"/>
  <c r="F23" i="14"/>
  <c r="F22" i="14"/>
  <c r="I22" i="14" s="1"/>
  <c r="B3" i="14"/>
  <c r="E264" i="14"/>
  <c r="Q263" i="14"/>
  <c r="P263" i="14"/>
  <c r="O263" i="14"/>
  <c r="N263" i="14"/>
  <c r="E263" i="14"/>
  <c r="K262" i="14"/>
  <c r="Q257" i="14"/>
  <c r="Q260" i="14" s="1"/>
  <c r="P257" i="14"/>
  <c r="P260" i="14" s="1"/>
  <c r="O257" i="14"/>
  <c r="O260" i="14" s="1"/>
  <c r="N257" i="14"/>
  <c r="N260" i="14" s="1"/>
  <c r="E257" i="14"/>
  <c r="E260" i="14" s="1"/>
  <c r="C257" i="14"/>
  <c r="C260" i="14" s="1"/>
  <c r="X256" i="14"/>
  <c r="W256" i="14"/>
  <c r="M256" i="14"/>
  <c r="K256" i="14"/>
  <c r="K255" i="14"/>
  <c r="K253" i="14"/>
  <c r="K252" i="14"/>
  <c r="K249" i="14"/>
  <c r="K248" i="14"/>
  <c r="W244" i="14"/>
  <c r="W243" i="14"/>
  <c r="M243" i="14"/>
  <c r="W242" i="14"/>
  <c r="X242" i="14"/>
  <c r="X241" i="14"/>
  <c r="W241" i="14"/>
  <c r="M241" i="14"/>
  <c r="W240" i="14"/>
  <c r="X239" i="14"/>
  <c r="W239" i="14"/>
  <c r="M239" i="14"/>
  <c r="Q234" i="14"/>
  <c r="P234" i="14"/>
  <c r="O234" i="14"/>
  <c r="N234" i="14"/>
  <c r="E234" i="14"/>
  <c r="D234" i="14"/>
  <c r="C234" i="14"/>
  <c r="H233" i="14"/>
  <c r="E230" i="14"/>
  <c r="D230" i="14"/>
  <c r="C230" i="14"/>
  <c r="Q264" i="14"/>
  <c r="P264" i="14"/>
  <c r="O264" i="14"/>
  <c r="N264" i="14"/>
  <c r="G264" i="14"/>
  <c r="G228" i="14"/>
  <c r="H228" i="14" s="1"/>
  <c r="N227" i="14"/>
  <c r="O227" i="14" s="1"/>
  <c r="P227" i="14" s="1"/>
  <c r="Q227" i="14" s="1"/>
  <c r="M227" i="14"/>
  <c r="H227" i="14"/>
  <c r="N226" i="14"/>
  <c r="O226" i="14" s="1"/>
  <c r="P226" i="14" s="1"/>
  <c r="Q226" i="14" s="1"/>
  <c r="M226" i="14"/>
  <c r="H226" i="14"/>
  <c r="N225" i="14"/>
  <c r="O225" i="14" s="1"/>
  <c r="P225" i="14" s="1"/>
  <c r="Q225" i="14" s="1"/>
  <c r="M225" i="14"/>
  <c r="H225" i="14"/>
  <c r="H222" i="14"/>
  <c r="D38" i="4" s="1"/>
  <c r="G222" i="14"/>
  <c r="E222" i="14"/>
  <c r="D222" i="14"/>
  <c r="C222" i="14"/>
  <c r="M220" i="14"/>
  <c r="M222" i="14" s="1"/>
  <c r="Q218" i="14"/>
  <c r="P218" i="14"/>
  <c r="O218" i="14"/>
  <c r="N218" i="14"/>
  <c r="M218" i="14"/>
  <c r="G218" i="14"/>
  <c r="E218" i="14"/>
  <c r="D218" i="14"/>
  <c r="C218" i="14"/>
  <c r="H217" i="14"/>
  <c r="H216" i="14"/>
  <c r="H215" i="14"/>
  <c r="H214" i="14"/>
  <c r="H213" i="14"/>
  <c r="Q211" i="14"/>
  <c r="P211" i="14"/>
  <c r="O211" i="14"/>
  <c r="N211" i="14"/>
  <c r="G211" i="14"/>
  <c r="E211" i="14"/>
  <c r="D211" i="14"/>
  <c r="C211" i="14"/>
  <c r="M210" i="14"/>
  <c r="M211" i="14" s="1"/>
  <c r="H210" i="14"/>
  <c r="Q208" i="14"/>
  <c r="P208" i="14"/>
  <c r="O208" i="14"/>
  <c r="N208" i="14"/>
  <c r="G208" i="14"/>
  <c r="E208" i="14"/>
  <c r="D208" i="14"/>
  <c r="C208" i="14"/>
  <c r="M207" i="14"/>
  <c r="H207" i="14"/>
  <c r="M206" i="14"/>
  <c r="H206" i="14"/>
  <c r="G204" i="14"/>
  <c r="E204" i="14"/>
  <c r="D204" i="14"/>
  <c r="C204" i="14"/>
  <c r="H203" i="14"/>
  <c r="H204" i="14" s="1"/>
  <c r="D34" i="4" s="1"/>
  <c r="Q201" i="14"/>
  <c r="P201" i="14"/>
  <c r="O201" i="14"/>
  <c r="N201" i="14"/>
  <c r="G201" i="14"/>
  <c r="E201" i="14"/>
  <c r="D201" i="14"/>
  <c r="C201" i="14"/>
  <c r="M200" i="14"/>
  <c r="M201" i="14" s="1"/>
  <c r="H200" i="14"/>
  <c r="Q198" i="14"/>
  <c r="P198" i="14"/>
  <c r="O198" i="14"/>
  <c r="N198" i="14"/>
  <c r="H198" i="14"/>
  <c r="E198" i="14"/>
  <c r="D198" i="14"/>
  <c r="C198" i="14"/>
  <c r="G198" i="14"/>
  <c r="Q195" i="14"/>
  <c r="P195" i="14"/>
  <c r="O195" i="14"/>
  <c r="N195" i="14"/>
  <c r="H195" i="14"/>
  <c r="D31" i="4" s="1"/>
  <c r="E195" i="14"/>
  <c r="D195" i="14"/>
  <c r="C195" i="14"/>
  <c r="M194" i="14"/>
  <c r="G193" i="14"/>
  <c r="M193" i="14" s="1"/>
  <c r="G192" i="14"/>
  <c r="E190" i="14"/>
  <c r="D190" i="14"/>
  <c r="C190" i="14"/>
  <c r="G189" i="14"/>
  <c r="M189" i="14" s="1"/>
  <c r="M190" i="14" s="1"/>
  <c r="N188" i="14"/>
  <c r="H188" i="14"/>
  <c r="M186" i="14"/>
  <c r="E186" i="14"/>
  <c r="D186" i="14"/>
  <c r="C186" i="14"/>
  <c r="Q186" i="14"/>
  <c r="P186" i="14"/>
  <c r="O186" i="14"/>
  <c r="N186" i="14"/>
  <c r="G184" i="14"/>
  <c r="G186" i="14" s="1"/>
  <c r="Q182" i="14"/>
  <c r="P182" i="14"/>
  <c r="O182" i="14"/>
  <c r="N182" i="14"/>
  <c r="G182" i="14"/>
  <c r="E182" i="14"/>
  <c r="D182" i="14"/>
  <c r="C182" i="14"/>
  <c r="H181" i="14"/>
  <c r="M180" i="14"/>
  <c r="M182" i="14" s="1"/>
  <c r="H180" i="14"/>
  <c r="H178" i="14"/>
  <c r="D27" i="4" s="1"/>
  <c r="G178" i="14"/>
  <c r="E178" i="14"/>
  <c r="D178" i="14"/>
  <c r="C178" i="14"/>
  <c r="Q178" i="14"/>
  <c r="P178" i="14"/>
  <c r="O178" i="14"/>
  <c r="N178" i="14"/>
  <c r="M177" i="14"/>
  <c r="M178" i="14" s="1"/>
  <c r="E175" i="14"/>
  <c r="C175" i="14"/>
  <c r="G174" i="14"/>
  <c r="G173" i="14"/>
  <c r="H173" i="14" s="1"/>
  <c r="M172" i="14"/>
  <c r="H172" i="14"/>
  <c r="D172" i="14"/>
  <c r="Q171" i="14"/>
  <c r="P171" i="14"/>
  <c r="O171" i="14"/>
  <c r="N171" i="14"/>
  <c r="M171" i="14"/>
  <c r="G171" i="14"/>
  <c r="H171" i="14" s="1"/>
  <c r="D171" i="14"/>
  <c r="Q170" i="14"/>
  <c r="P170" i="14"/>
  <c r="O170" i="14"/>
  <c r="N170" i="14"/>
  <c r="N175" i="14" s="1"/>
  <c r="G170" i="14"/>
  <c r="M170" i="14" s="1"/>
  <c r="E168" i="14"/>
  <c r="D168" i="14"/>
  <c r="C168" i="14"/>
  <c r="M167" i="14"/>
  <c r="H167" i="14"/>
  <c r="Q166" i="14"/>
  <c r="Q168" i="14" s="1"/>
  <c r="P166" i="14"/>
  <c r="P168" i="14" s="1"/>
  <c r="O166" i="14"/>
  <c r="O168" i="14" s="1"/>
  <c r="N166" i="14"/>
  <c r="N168" i="14" s="1"/>
  <c r="G166" i="14"/>
  <c r="G168" i="14" s="1"/>
  <c r="E164" i="14"/>
  <c r="D164" i="14"/>
  <c r="C164" i="14"/>
  <c r="M163" i="14"/>
  <c r="M162" i="14"/>
  <c r="M161" i="14"/>
  <c r="M160" i="14"/>
  <c r="Q159" i="14"/>
  <c r="Q164" i="14" s="1"/>
  <c r="P159" i="14"/>
  <c r="P164" i="14" s="1"/>
  <c r="O159" i="14"/>
  <c r="O164" i="14" s="1"/>
  <c r="N159" i="14"/>
  <c r="N164" i="14" s="1"/>
  <c r="G159" i="14"/>
  <c r="G164" i="14" s="1"/>
  <c r="Q157" i="14"/>
  <c r="P157" i="14"/>
  <c r="O157" i="14"/>
  <c r="N157" i="14"/>
  <c r="G157" i="14"/>
  <c r="E157" i="14"/>
  <c r="D157" i="14"/>
  <c r="C157" i="14"/>
  <c r="M156" i="14"/>
  <c r="M155" i="14"/>
  <c r="M154" i="14"/>
  <c r="E152" i="14"/>
  <c r="D152" i="14"/>
  <c r="C151" i="14"/>
  <c r="C152" i="14" s="1"/>
  <c r="M150" i="14"/>
  <c r="M149" i="14"/>
  <c r="M148" i="14"/>
  <c r="H146" i="14"/>
  <c r="E146" i="14"/>
  <c r="D146" i="14"/>
  <c r="C146" i="14"/>
  <c r="Q146" i="14"/>
  <c r="P146" i="14"/>
  <c r="O146" i="14"/>
  <c r="N146" i="14"/>
  <c r="G145" i="14"/>
  <c r="G146" i="14" s="1"/>
  <c r="E143" i="14"/>
  <c r="D143" i="14"/>
  <c r="C143" i="14"/>
  <c r="M142" i="14"/>
  <c r="M139" i="14"/>
  <c r="G138" i="14"/>
  <c r="G137" i="14"/>
  <c r="M137" i="14" s="1"/>
  <c r="Q134" i="14"/>
  <c r="P134" i="14"/>
  <c r="O134" i="14"/>
  <c r="N134" i="14"/>
  <c r="G134" i="14"/>
  <c r="E134" i="14"/>
  <c r="D134" i="14"/>
  <c r="C134" i="14"/>
  <c r="M133" i="14"/>
  <c r="M132" i="14"/>
  <c r="E130" i="14"/>
  <c r="D130" i="14"/>
  <c r="C130" i="14"/>
  <c r="G129" i="14"/>
  <c r="N129" i="14" s="1"/>
  <c r="O129" i="14" s="1"/>
  <c r="P129" i="14" s="1"/>
  <c r="Q129" i="14" s="1"/>
  <c r="N128" i="14"/>
  <c r="O128" i="14" s="1"/>
  <c r="P128" i="14" s="1"/>
  <c r="Q128" i="14" s="1"/>
  <c r="G127" i="14"/>
  <c r="M127" i="14" s="1"/>
  <c r="N125" i="14"/>
  <c r="O125" i="14" s="1"/>
  <c r="P125" i="14" s="1"/>
  <c r="Q125" i="14" s="1"/>
  <c r="M125" i="14"/>
  <c r="N124" i="14"/>
  <c r="O124" i="14" s="1"/>
  <c r="P124" i="14" s="1"/>
  <c r="Q124" i="14" s="1"/>
  <c r="M124" i="14"/>
  <c r="N123" i="14"/>
  <c r="O123" i="14" s="1"/>
  <c r="P123" i="14" s="1"/>
  <c r="Q123" i="14" s="1"/>
  <c r="M123" i="14"/>
  <c r="G122" i="14"/>
  <c r="G118" i="14" s="1"/>
  <c r="N121" i="14"/>
  <c r="O121" i="14" s="1"/>
  <c r="P121" i="14" s="1"/>
  <c r="Q121" i="14" s="1"/>
  <c r="M121" i="14"/>
  <c r="N120" i="14"/>
  <c r="O120" i="14" s="1"/>
  <c r="P120" i="14" s="1"/>
  <c r="Q120" i="14" s="1"/>
  <c r="M120" i="14"/>
  <c r="O119" i="14"/>
  <c r="P119" i="14" s="1"/>
  <c r="Q119" i="14" s="1"/>
  <c r="N119" i="14"/>
  <c r="M119" i="14"/>
  <c r="N116" i="14"/>
  <c r="M116" i="14"/>
  <c r="M113" i="14"/>
  <c r="K113" i="14"/>
  <c r="G113" i="14"/>
  <c r="D113" i="14"/>
  <c r="C113" i="14"/>
  <c r="H112" i="14"/>
  <c r="H111" i="14"/>
  <c r="H110" i="14"/>
  <c r="E108" i="14"/>
  <c r="D108" i="14"/>
  <c r="C108" i="14"/>
  <c r="K106" i="14"/>
  <c r="M101" i="14"/>
  <c r="E99" i="14"/>
  <c r="D99" i="14"/>
  <c r="Q95" i="14"/>
  <c r="P95" i="14"/>
  <c r="O95" i="14"/>
  <c r="N95" i="14"/>
  <c r="M95" i="14"/>
  <c r="C95" i="14"/>
  <c r="Q94" i="14"/>
  <c r="P94" i="14"/>
  <c r="O94" i="14"/>
  <c r="N94" i="14"/>
  <c r="M94" i="14"/>
  <c r="C94" i="14"/>
  <c r="Q93" i="14"/>
  <c r="P93" i="14"/>
  <c r="O93" i="14"/>
  <c r="N93" i="14"/>
  <c r="M93" i="14"/>
  <c r="C93" i="14"/>
  <c r="Q92" i="14"/>
  <c r="P92" i="14"/>
  <c r="O92" i="14"/>
  <c r="N92" i="14"/>
  <c r="M92" i="14"/>
  <c r="C92" i="14"/>
  <c r="Q91" i="14"/>
  <c r="P91" i="14"/>
  <c r="O91" i="14"/>
  <c r="N91" i="14"/>
  <c r="M91" i="14"/>
  <c r="C91" i="14"/>
  <c r="H87" i="14"/>
  <c r="K85" i="14"/>
  <c r="G85" i="14"/>
  <c r="E85" i="14"/>
  <c r="D85" i="14"/>
  <c r="C85" i="14"/>
  <c r="Q85" i="14"/>
  <c r="P85" i="14"/>
  <c r="O85" i="14"/>
  <c r="N85" i="14"/>
  <c r="M85" i="14"/>
  <c r="H84" i="14"/>
  <c r="H85" i="14" s="1"/>
  <c r="E82" i="14"/>
  <c r="D82" i="14"/>
  <c r="C82" i="14"/>
  <c r="E73" i="14"/>
  <c r="D73" i="14"/>
  <c r="C73" i="14"/>
  <c r="Q56" i="14"/>
  <c r="P56" i="14"/>
  <c r="O56" i="14"/>
  <c r="N56" i="14"/>
  <c r="M56" i="14"/>
  <c r="G56" i="14"/>
  <c r="E56" i="14"/>
  <c r="D56" i="14"/>
  <c r="C56" i="14"/>
  <c r="H55" i="14"/>
  <c r="K55" i="14"/>
  <c r="H54" i="14"/>
  <c r="H53" i="14"/>
  <c r="H52" i="14"/>
  <c r="Q50" i="14"/>
  <c r="P50" i="14"/>
  <c r="O50" i="14"/>
  <c r="N50" i="14"/>
  <c r="M50" i="14"/>
  <c r="G50" i="14"/>
  <c r="E50" i="14"/>
  <c r="D50" i="14"/>
  <c r="C50" i="14"/>
  <c r="H49" i="14"/>
  <c r="H50" i="14" s="1"/>
  <c r="F50" i="14"/>
  <c r="Q47" i="14"/>
  <c r="P47" i="14"/>
  <c r="O47" i="14"/>
  <c r="N47" i="14"/>
  <c r="M47" i="14"/>
  <c r="K47" i="14"/>
  <c r="G47" i="14"/>
  <c r="E47" i="14"/>
  <c r="D47" i="14"/>
  <c r="C47" i="14"/>
  <c r="H46" i="14"/>
  <c r="H47" i="14" s="1"/>
  <c r="Q44" i="14"/>
  <c r="P44" i="14"/>
  <c r="O44" i="14"/>
  <c r="N44" i="14"/>
  <c r="M44" i="14"/>
  <c r="G44" i="14"/>
  <c r="E44" i="14"/>
  <c r="D44" i="14"/>
  <c r="C44" i="14"/>
  <c r="H44" i="14"/>
  <c r="D10" i="4" s="1"/>
  <c r="E40" i="14"/>
  <c r="D40" i="14"/>
  <c r="M39" i="14"/>
  <c r="C39" i="14"/>
  <c r="C40" i="14" s="1"/>
  <c r="M37" i="14"/>
  <c r="G37" i="14"/>
  <c r="G35" i="14"/>
  <c r="G34" i="14"/>
  <c r="G40" i="14" s="1"/>
  <c r="E31" i="14"/>
  <c r="D31" i="14"/>
  <c r="C31" i="14"/>
  <c r="M30" i="14"/>
  <c r="G30" i="14"/>
  <c r="G29" i="14"/>
  <c r="M24" i="14"/>
  <c r="S22" i="14"/>
  <c r="G22" i="14"/>
  <c r="G24" i="14" s="1"/>
  <c r="H15" i="14"/>
  <c r="H14" i="14"/>
  <c r="N13" i="14"/>
  <c r="O13" i="14" s="1"/>
  <c r="P13" i="14" s="1"/>
  <c r="Q13" i="14" s="1"/>
  <c r="M13" i="14"/>
  <c r="H13" i="14"/>
  <c r="H12" i="14"/>
  <c r="Q33" i="14"/>
  <c r="P33" i="14"/>
  <c r="O33" i="14"/>
  <c r="N33" i="14"/>
  <c r="H11" i="14"/>
  <c r="Q35" i="14"/>
  <c r="N34" i="14"/>
  <c r="M35" i="14"/>
  <c r="H9" i="14"/>
  <c r="Q27" i="14"/>
  <c r="Q141" i="14" s="1"/>
  <c r="N136" i="14"/>
  <c r="O136" i="14" s="1"/>
  <c r="G136" i="14"/>
  <c r="H7" i="14"/>
  <c r="Q175" i="14" l="1"/>
  <c r="N189" i="14"/>
  <c r="O189" i="14" s="1"/>
  <c r="P189" i="14" s="1"/>
  <c r="Q189" i="14" s="1"/>
  <c r="D175" i="14"/>
  <c r="G32" i="4"/>
  <c r="D32" i="4"/>
  <c r="P22" i="14"/>
  <c r="P24" i="14" s="1"/>
  <c r="K188" i="14"/>
  <c r="I198" i="14"/>
  <c r="M129" i="14"/>
  <c r="G21" i="4"/>
  <c r="D21" i="4"/>
  <c r="G195" i="14"/>
  <c r="H208" i="14"/>
  <c r="D35" i="4" s="1"/>
  <c r="I210" i="14"/>
  <c r="K225" i="14"/>
  <c r="H113" i="14"/>
  <c r="F264" i="14"/>
  <c r="K76" i="14"/>
  <c r="I243" i="14"/>
  <c r="I254" i="14"/>
  <c r="K254" i="14"/>
  <c r="F186" i="14"/>
  <c r="K200" i="14"/>
  <c r="K201" i="14" s="1"/>
  <c r="K79" i="14"/>
  <c r="K226" i="14"/>
  <c r="I117" i="14"/>
  <c r="G34" i="4"/>
  <c r="I207" i="14"/>
  <c r="I225" i="14"/>
  <c r="I161" i="14"/>
  <c r="G108" i="14"/>
  <c r="I160" i="14"/>
  <c r="P175" i="14"/>
  <c r="M208" i="14"/>
  <c r="G82" i="14"/>
  <c r="O230" i="14"/>
  <c r="N39" i="14"/>
  <c r="H201" i="14"/>
  <c r="G38" i="4"/>
  <c r="K162" i="14"/>
  <c r="I104" i="14"/>
  <c r="F234" i="14"/>
  <c r="P23" i="14"/>
  <c r="K215" i="14"/>
  <c r="G10" i="4"/>
  <c r="M22" i="14"/>
  <c r="N22" i="14"/>
  <c r="N24" i="14" s="1"/>
  <c r="I34" i="14"/>
  <c r="D114" i="14"/>
  <c r="K104" i="14"/>
  <c r="N127" i="14"/>
  <c r="O127" i="14" s="1"/>
  <c r="P127" i="14" s="1"/>
  <c r="Q127" i="14" s="1"/>
  <c r="M159" i="14"/>
  <c r="M164" i="14" s="1"/>
  <c r="O175" i="14"/>
  <c r="G257" i="14"/>
  <c r="G260" i="14" s="1"/>
  <c r="K128" i="14"/>
  <c r="K160" i="14"/>
  <c r="I228" i="14"/>
  <c r="C32" i="4"/>
  <c r="G27" i="4"/>
  <c r="G35" i="4"/>
  <c r="M34" i="14"/>
  <c r="M40" i="14" s="1"/>
  <c r="E57" i="14"/>
  <c r="E58" i="14" s="1"/>
  <c r="E114" i="14"/>
  <c r="E235" i="14" s="1"/>
  <c r="E17" i="14" s="1"/>
  <c r="M145" i="14"/>
  <c r="M146" i="14" s="1"/>
  <c r="G190" i="14"/>
  <c r="I256" i="14"/>
  <c r="I150" i="14"/>
  <c r="F168" i="14"/>
  <c r="K207" i="14"/>
  <c r="I226" i="14"/>
  <c r="I172" i="14"/>
  <c r="P34" i="14"/>
  <c r="K39" i="14"/>
  <c r="M108" i="14"/>
  <c r="M134" i="14"/>
  <c r="H166" i="14"/>
  <c r="H168" i="14" s="1"/>
  <c r="D25" i="4" s="1"/>
  <c r="M192" i="14"/>
  <c r="M195" i="14" s="1"/>
  <c r="G230" i="14"/>
  <c r="O23" i="14"/>
  <c r="D57" i="14"/>
  <c r="N82" i="14"/>
  <c r="C99" i="14"/>
  <c r="C114" i="14" s="1"/>
  <c r="C235" i="14" s="1"/>
  <c r="C17" i="14" s="1"/>
  <c r="M157" i="14"/>
  <c r="H189" i="14"/>
  <c r="K189" i="14" s="1"/>
  <c r="I30" i="14"/>
  <c r="K217" i="14"/>
  <c r="K213" i="14"/>
  <c r="F208" i="14"/>
  <c r="I208" i="14" s="1"/>
  <c r="G31" i="4"/>
  <c r="K129" i="14"/>
  <c r="K123" i="14"/>
  <c r="K155" i="14"/>
  <c r="K96" i="14"/>
  <c r="N25" i="14"/>
  <c r="N151" i="14" s="1"/>
  <c r="N152" i="14" s="1"/>
  <c r="G27" i="14"/>
  <c r="G141" i="14" s="1"/>
  <c r="M141" i="14" s="1"/>
  <c r="H108" i="14"/>
  <c r="D17" i="4" s="1"/>
  <c r="H170" i="14"/>
  <c r="I170" i="14" s="1"/>
  <c r="M173" i="14"/>
  <c r="H184" i="14"/>
  <c r="H186" i="14" s="1"/>
  <c r="D29" i="4" s="1"/>
  <c r="I215" i="14"/>
  <c r="K163" i="14"/>
  <c r="K194" i="14"/>
  <c r="K195" i="14" s="1"/>
  <c r="I194" i="14"/>
  <c r="K172" i="14"/>
  <c r="K24" i="14"/>
  <c r="K30" i="14"/>
  <c r="I192" i="14"/>
  <c r="K228" i="14"/>
  <c r="F220" i="14"/>
  <c r="I220" i="14" s="1"/>
  <c r="F113" i="14"/>
  <c r="F133" i="14"/>
  <c r="K133" i="14" s="1"/>
  <c r="F224" i="14"/>
  <c r="F230" i="14" s="1"/>
  <c r="I128" i="14"/>
  <c r="F62" i="14"/>
  <c r="F73" i="14" s="1"/>
  <c r="F175" i="14"/>
  <c r="K107" i="14"/>
  <c r="I206" i="14"/>
  <c r="F190" i="14"/>
  <c r="I163" i="14"/>
  <c r="F164" i="14"/>
  <c r="F130" i="14"/>
  <c r="F99" i="14"/>
  <c r="K65" i="14"/>
  <c r="K35" i="14"/>
  <c r="I39" i="14"/>
  <c r="F31" i="14"/>
  <c r="K49" i="14"/>
  <c r="K50" i="14" s="1"/>
  <c r="K81" i="14"/>
  <c r="K117" i="14"/>
  <c r="K177" i="14"/>
  <c r="K178" i="14" s="1"/>
  <c r="K203" i="14"/>
  <c r="K204" i="14" s="1"/>
  <c r="H224" i="14"/>
  <c r="H257" i="14"/>
  <c r="H260" i="14" s="1"/>
  <c r="I241" i="14"/>
  <c r="I245" i="14"/>
  <c r="N23" i="14"/>
  <c r="G26" i="14"/>
  <c r="I37" i="14"/>
  <c r="P82" i="14"/>
  <c r="I79" i="14"/>
  <c r="K80" i="14"/>
  <c r="I116" i="14"/>
  <c r="K139" i="14"/>
  <c r="I155" i="14"/>
  <c r="F178" i="14"/>
  <c r="I178" i="14" s="1"/>
  <c r="I193" i="14"/>
  <c r="I197" i="14"/>
  <c r="I213" i="14"/>
  <c r="K216" i="14"/>
  <c r="M240" i="14"/>
  <c r="I242" i="14"/>
  <c r="I247" i="14"/>
  <c r="O73" i="14"/>
  <c r="I96" i="14"/>
  <c r="K116" i="14"/>
  <c r="I119" i="14"/>
  <c r="I123" i="14"/>
  <c r="F182" i="14"/>
  <c r="M197" i="14"/>
  <c r="M198" i="14" s="1"/>
  <c r="Q230" i="14"/>
  <c r="M242" i="14"/>
  <c r="N35" i="14"/>
  <c r="N37" i="14"/>
  <c r="I65" i="14"/>
  <c r="I66" i="14"/>
  <c r="I76" i="14"/>
  <c r="K105" i="14"/>
  <c r="F157" i="14"/>
  <c r="F218" i="14"/>
  <c r="K227" i="14"/>
  <c r="H229" i="14"/>
  <c r="K229" i="14" s="1"/>
  <c r="K264" i="14" s="1"/>
  <c r="P35" i="14"/>
  <c r="K132" i="14"/>
  <c r="K150" i="14"/>
  <c r="K161" i="14"/>
  <c r="K206" i="14"/>
  <c r="X240" i="14"/>
  <c r="X243" i="14"/>
  <c r="G23" i="14"/>
  <c r="N27" i="14"/>
  <c r="N141" i="14" s="1"/>
  <c r="P73" i="14"/>
  <c r="I72" i="14"/>
  <c r="I188" i="14"/>
  <c r="I244" i="14"/>
  <c r="I251" i="14"/>
  <c r="K29" i="14"/>
  <c r="I29" i="14"/>
  <c r="P37" i="14"/>
  <c r="P25" i="14"/>
  <c r="P151" i="14" s="1"/>
  <c r="P152" i="14" s="1"/>
  <c r="F40" i="14"/>
  <c r="K37" i="14"/>
  <c r="M23" i="14"/>
  <c r="K22" i="14"/>
  <c r="H40" i="14"/>
  <c r="D9" i="4" s="1"/>
  <c r="I42" i="14"/>
  <c r="Q37" i="14"/>
  <c r="Q26" i="14"/>
  <c r="Q140" i="14" s="1"/>
  <c r="Q25" i="14"/>
  <c r="Q151" i="14" s="1"/>
  <c r="Q152" i="14" s="1"/>
  <c r="H10" i="14"/>
  <c r="K27" i="14"/>
  <c r="C57" i="14"/>
  <c r="Q23" i="14"/>
  <c r="P27" i="14"/>
  <c r="P141" i="14" s="1"/>
  <c r="H56" i="14"/>
  <c r="N73" i="14"/>
  <c r="I24" i="14"/>
  <c r="K53" i="14"/>
  <c r="K56" i="14" s="1"/>
  <c r="F56" i="14"/>
  <c r="M27" i="14"/>
  <c r="M26" i="14"/>
  <c r="O35" i="14"/>
  <c r="O34" i="14"/>
  <c r="O22" i="14"/>
  <c r="P136" i="14"/>
  <c r="I35" i="14"/>
  <c r="M136" i="14"/>
  <c r="P26" i="14"/>
  <c r="P140" i="14" s="1"/>
  <c r="O27" i="14"/>
  <c r="O141" i="14" s="1"/>
  <c r="O26" i="14"/>
  <c r="O140" i="14" s="1"/>
  <c r="O37" i="14"/>
  <c r="O25" i="14"/>
  <c r="O151" i="14" s="1"/>
  <c r="O152" i="14" s="1"/>
  <c r="Q34" i="14"/>
  <c r="Q22" i="14"/>
  <c r="M25" i="14"/>
  <c r="K141" i="14"/>
  <c r="F44" i="14"/>
  <c r="I44" i="14" s="1"/>
  <c r="G73" i="14"/>
  <c r="K127" i="14"/>
  <c r="I127" i="14"/>
  <c r="I132" i="14"/>
  <c r="M138" i="14"/>
  <c r="F204" i="14"/>
  <c r="I204" i="14" s="1"/>
  <c r="I203" i="14"/>
  <c r="K214" i="14"/>
  <c r="N26" i="14"/>
  <c r="N140" i="14" s="1"/>
  <c r="M29" i="14"/>
  <c r="H8" i="14"/>
  <c r="G25" i="14"/>
  <c r="K66" i="14"/>
  <c r="Q82" i="14"/>
  <c r="I80" i="14"/>
  <c r="I81" i="14"/>
  <c r="F143" i="14"/>
  <c r="F152" i="14"/>
  <c r="H157" i="14"/>
  <c r="D23" i="4" s="1"/>
  <c r="M174" i="14"/>
  <c r="H174" i="14"/>
  <c r="H182" i="14"/>
  <c r="D28" i="4" s="1"/>
  <c r="K180" i="14"/>
  <c r="K182" i="14" s="1"/>
  <c r="I180" i="14"/>
  <c r="F201" i="14"/>
  <c r="N230" i="14"/>
  <c r="I255" i="14"/>
  <c r="O116" i="14"/>
  <c r="K156" i="14"/>
  <c r="I156" i="14"/>
  <c r="K171" i="14"/>
  <c r="I171" i="14"/>
  <c r="N190" i="14"/>
  <c r="O188" i="14"/>
  <c r="I246" i="14"/>
  <c r="M73" i="14"/>
  <c r="F82" i="14"/>
  <c r="F146" i="14"/>
  <c r="I146" i="14" s="1"/>
  <c r="K145" i="14"/>
  <c r="K146" i="14" s="1"/>
  <c r="I162" i="14"/>
  <c r="P230" i="14"/>
  <c r="K72" i="14"/>
  <c r="I200" i="14"/>
  <c r="F211" i="14"/>
  <c r="D257" i="14"/>
  <c r="D260" i="14" s="1"/>
  <c r="I240" i="14"/>
  <c r="M82" i="14"/>
  <c r="G130" i="14"/>
  <c r="K137" i="14"/>
  <c r="I137" i="14"/>
  <c r="H218" i="14"/>
  <c r="D37" i="4" s="1"/>
  <c r="F257" i="14"/>
  <c r="M244" i="14"/>
  <c r="X244" i="14"/>
  <c r="F108" i="14"/>
  <c r="I108" i="14" s="1"/>
  <c r="N118" i="14"/>
  <c r="O118" i="14" s="1"/>
  <c r="P118" i="14" s="1"/>
  <c r="Q118" i="14" s="1"/>
  <c r="AA123" i="14"/>
  <c r="AA235" i="14" s="1"/>
  <c r="K173" i="14"/>
  <c r="I173" i="14"/>
  <c r="Q73" i="14"/>
  <c r="K68" i="14"/>
  <c r="I68" i="14"/>
  <c r="O82" i="14"/>
  <c r="N122" i="14"/>
  <c r="O122" i="14" s="1"/>
  <c r="P122" i="14" s="1"/>
  <c r="Q122" i="14" s="1"/>
  <c r="K210" i="14"/>
  <c r="K211" i="14" s="1"/>
  <c r="I250" i="14"/>
  <c r="M117" i="14"/>
  <c r="M130" i="14" s="1"/>
  <c r="H134" i="14"/>
  <c r="D19" i="4" s="1"/>
  <c r="I139" i="14"/>
  <c r="K148" i="14"/>
  <c r="I154" i="14"/>
  <c r="I166" i="14"/>
  <c r="K197" i="14"/>
  <c r="K198" i="14" s="1"/>
  <c r="M229" i="14"/>
  <c r="M264" i="14" s="1"/>
  <c r="M166" i="14"/>
  <c r="M168" i="14" s="1"/>
  <c r="G175" i="14"/>
  <c r="M228" i="14"/>
  <c r="F195" i="14"/>
  <c r="I195" i="14" s="1"/>
  <c r="H211" i="14"/>
  <c r="D36" i="4" s="1"/>
  <c r="I227" i="14"/>
  <c r="I218" i="14" l="1"/>
  <c r="I184" i="14"/>
  <c r="H32" i="4"/>
  <c r="I211" i="14"/>
  <c r="I40" i="14"/>
  <c r="K184" i="14"/>
  <c r="K186" i="14" s="1"/>
  <c r="K190" i="14"/>
  <c r="D235" i="14"/>
  <c r="D17" i="14" s="1"/>
  <c r="G33" i="4"/>
  <c r="D33" i="4"/>
  <c r="I201" i="14"/>
  <c r="E16" i="14"/>
  <c r="E18" i="14" s="1"/>
  <c r="I157" i="14"/>
  <c r="I182" i="14"/>
  <c r="H264" i="14"/>
  <c r="I229" i="14"/>
  <c r="C26" i="4"/>
  <c r="C25" i="4"/>
  <c r="I168" i="14"/>
  <c r="C16" i="4"/>
  <c r="C14" i="4"/>
  <c r="C40" i="4"/>
  <c r="C24" i="4"/>
  <c r="C22" i="4"/>
  <c r="C8" i="4"/>
  <c r="C20" i="4"/>
  <c r="C29" i="4"/>
  <c r="H29" i="4" s="1"/>
  <c r="I186" i="14"/>
  <c r="K208" i="14"/>
  <c r="Q40" i="14"/>
  <c r="K34" i="14"/>
  <c r="K40" i="14" s="1"/>
  <c r="P40" i="14"/>
  <c r="N143" i="14"/>
  <c r="K101" i="14"/>
  <c r="K108" i="14" s="1"/>
  <c r="H230" i="14"/>
  <c r="D39" i="4" s="1"/>
  <c r="M175" i="14"/>
  <c r="M257" i="14"/>
  <c r="M260" i="14" s="1"/>
  <c r="H175" i="14"/>
  <c r="D26" i="4" s="1"/>
  <c r="K224" i="14"/>
  <c r="K230" i="14" s="1"/>
  <c r="I224" i="14"/>
  <c r="P111" i="14"/>
  <c r="P113" i="14" s="1"/>
  <c r="G232" i="14"/>
  <c r="M232" i="14" s="1"/>
  <c r="G17" i="4"/>
  <c r="C9" i="4"/>
  <c r="G25" i="4"/>
  <c r="O88" i="14"/>
  <c r="C17" i="4"/>
  <c r="K220" i="14"/>
  <c r="K222" i="14" s="1"/>
  <c r="P104" i="14"/>
  <c r="P108" i="14" s="1"/>
  <c r="D58" i="14"/>
  <c r="D16" i="14"/>
  <c r="D18" i="14" s="1"/>
  <c r="G19" i="4"/>
  <c r="C28" i="4"/>
  <c r="G36" i="4"/>
  <c r="C31" i="4"/>
  <c r="H31" i="4" s="1"/>
  <c r="I101" i="14"/>
  <c r="C36" i="4"/>
  <c r="K170" i="14"/>
  <c r="K157" i="14"/>
  <c r="G9" i="4"/>
  <c r="P88" i="14"/>
  <c r="F222" i="14"/>
  <c r="I222" i="14" s="1"/>
  <c r="N40" i="14"/>
  <c r="C30" i="4"/>
  <c r="C23" i="4"/>
  <c r="C39" i="4"/>
  <c r="C34" i="4"/>
  <c r="G28" i="4"/>
  <c r="N130" i="14"/>
  <c r="K166" i="14"/>
  <c r="K168" i="14" s="1"/>
  <c r="C37" i="4"/>
  <c r="G29" i="4"/>
  <c r="H190" i="14"/>
  <c r="D30" i="4" s="1"/>
  <c r="I189" i="14"/>
  <c r="C21" i="4"/>
  <c r="H21" i="4" s="1"/>
  <c r="C27" i="4"/>
  <c r="I133" i="14"/>
  <c r="C18" i="4"/>
  <c r="C35" i="4"/>
  <c r="H35" i="4" s="1"/>
  <c r="G37" i="4"/>
  <c r="C15" i="4"/>
  <c r="C33" i="4"/>
  <c r="H33" i="4" s="1"/>
  <c r="G23" i="4"/>
  <c r="G31" i="14"/>
  <c r="G57" i="14" s="1"/>
  <c r="C10" i="4"/>
  <c r="H10" i="4" s="1"/>
  <c r="O40" i="14"/>
  <c r="K134" i="14"/>
  <c r="F134" i="14"/>
  <c r="I134" i="14" s="1"/>
  <c r="K218" i="14"/>
  <c r="P31" i="14"/>
  <c r="I141" i="14"/>
  <c r="G140" i="14"/>
  <c r="P89" i="14"/>
  <c r="M31" i="14"/>
  <c r="M57" i="14" s="1"/>
  <c r="M58" i="14" s="1"/>
  <c r="P90" i="14"/>
  <c r="M230" i="14"/>
  <c r="O143" i="14"/>
  <c r="K159" i="14"/>
  <c r="K164" i="14" s="1"/>
  <c r="H164" i="14"/>
  <c r="D24" i="4" s="1"/>
  <c r="I159" i="14"/>
  <c r="K174" i="14"/>
  <c r="I174" i="14"/>
  <c r="K257" i="14"/>
  <c r="K260" i="14" s="1"/>
  <c r="N31" i="14"/>
  <c r="P143" i="14"/>
  <c r="Q136" i="14"/>
  <c r="Q143" i="14" s="1"/>
  <c r="F57" i="14"/>
  <c r="O104" i="14"/>
  <c r="O108" i="14" s="1"/>
  <c r="H82" i="14"/>
  <c r="D15" i="4" s="1"/>
  <c r="K75" i="14"/>
  <c r="K82" i="14" s="1"/>
  <c r="O190" i="14"/>
  <c r="P188" i="14"/>
  <c r="K138" i="14"/>
  <c r="I138" i="14"/>
  <c r="I27" i="14"/>
  <c r="O89" i="14"/>
  <c r="H73" i="14"/>
  <c r="D14" i="4" s="1"/>
  <c r="K62" i="14"/>
  <c r="K73" i="14" s="1"/>
  <c r="I62" i="14"/>
  <c r="Q89" i="14"/>
  <c r="Q88" i="14"/>
  <c r="Q104" i="14"/>
  <c r="Q108" i="14" s="1"/>
  <c r="Q111" i="14"/>
  <c r="Q113" i="14" s="1"/>
  <c r="Q90" i="14"/>
  <c r="K122" i="14"/>
  <c r="I122" i="14"/>
  <c r="I257" i="14"/>
  <c r="F260" i="14"/>
  <c r="I75" i="14"/>
  <c r="F114" i="14"/>
  <c r="K136" i="14"/>
  <c r="I136" i="14"/>
  <c r="O90" i="14"/>
  <c r="C58" i="14"/>
  <c r="C236" i="14" s="1"/>
  <c r="C259" i="14" s="1"/>
  <c r="C265" i="14" s="1"/>
  <c r="C19" i="14" s="1"/>
  <c r="C16" i="14"/>
  <c r="C18" i="14" s="1"/>
  <c r="K118" i="14"/>
  <c r="I118" i="14"/>
  <c r="H130" i="14"/>
  <c r="D18" i="4" s="1"/>
  <c r="M90" i="14"/>
  <c r="M88" i="14"/>
  <c r="M89" i="14"/>
  <c r="O130" i="14"/>
  <c r="P116" i="14"/>
  <c r="G89" i="14"/>
  <c r="G88" i="14"/>
  <c r="G90" i="14"/>
  <c r="Q24" i="14"/>
  <c r="Q31" i="14" s="1"/>
  <c r="O24" i="14"/>
  <c r="O31" i="14" s="1"/>
  <c r="O111" i="14"/>
  <c r="O113" i="14" s="1"/>
  <c r="G151" i="14"/>
  <c r="N111" i="14"/>
  <c r="N113" i="14" s="1"/>
  <c r="N90" i="14"/>
  <c r="N89" i="14"/>
  <c r="N88" i="14"/>
  <c r="N104" i="14"/>
  <c r="N108" i="14" s="1"/>
  <c r="E236" i="14"/>
  <c r="E259" i="14" s="1"/>
  <c r="E265" i="14" s="1"/>
  <c r="E19" i="14" s="1"/>
  <c r="K23" i="14"/>
  <c r="I23" i="14"/>
  <c r="D236" i="14" l="1"/>
  <c r="D259" i="14" s="1"/>
  <c r="D265" i="14" s="1"/>
  <c r="D19" i="14" s="1"/>
  <c r="N57" i="14"/>
  <c r="I190" i="14"/>
  <c r="I164" i="14"/>
  <c r="G26" i="4"/>
  <c r="H26" i="4" s="1"/>
  <c r="H25" i="4"/>
  <c r="I82" i="14"/>
  <c r="I73" i="14"/>
  <c r="I175" i="14"/>
  <c r="I130" i="14"/>
  <c r="I230" i="14"/>
  <c r="C30" i="7"/>
  <c r="Q57" i="14"/>
  <c r="Q16" i="14" s="1"/>
  <c r="H23" i="4"/>
  <c r="F235" i="14"/>
  <c r="G39" i="4"/>
  <c r="H39" i="4" s="1"/>
  <c r="G263" i="14"/>
  <c r="H232" i="14"/>
  <c r="I232" i="14" s="1"/>
  <c r="G234" i="14"/>
  <c r="P57" i="14"/>
  <c r="P16" i="14" s="1"/>
  <c r="P99" i="14"/>
  <c r="P114" i="14" s="1"/>
  <c r="E21" i="4"/>
  <c r="E28" i="4"/>
  <c r="H17" i="4"/>
  <c r="E36" i="4"/>
  <c r="H37" i="4"/>
  <c r="H34" i="4"/>
  <c r="E34" i="4"/>
  <c r="H36" i="4"/>
  <c r="G15" i="4"/>
  <c r="H15" i="4" s="1"/>
  <c r="K175" i="14"/>
  <c r="O99" i="14"/>
  <c r="O114" i="14" s="1"/>
  <c r="O235" i="14" s="1"/>
  <c r="O17" i="14" s="1"/>
  <c r="H9" i="4"/>
  <c r="H27" i="4"/>
  <c r="E27" i="4"/>
  <c r="H28" i="4"/>
  <c r="O57" i="14"/>
  <c r="O58" i="14" s="1"/>
  <c r="G14" i="4"/>
  <c r="C19" i="4"/>
  <c r="H19" i="4" s="1"/>
  <c r="C38" i="4"/>
  <c r="H38" i="4" s="1"/>
  <c r="G18" i="4"/>
  <c r="H18" i="4" s="1"/>
  <c r="G24" i="4"/>
  <c r="H24" i="4" s="1"/>
  <c r="M16" i="14"/>
  <c r="G30" i="4"/>
  <c r="H30" i="4" s="1"/>
  <c r="G143" i="14"/>
  <c r="M140" i="14"/>
  <c r="M143" i="14" s="1"/>
  <c r="M99" i="14"/>
  <c r="M114" i="14" s="1"/>
  <c r="K26" i="14"/>
  <c r="I26" i="14"/>
  <c r="G99" i="14"/>
  <c r="K89" i="14"/>
  <c r="I89" i="14"/>
  <c r="G16" i="14"/>
  <c r="G58" i="14"/>
  <c r="Q116" i="14"/>
  <c r="Q130" i="14" s="1"/>
  <c r="P130" i="14"/>
  <c r="K130" i="14"/>
  <c r="N58" i="14"/>
  <c r="N16" i="14"/>
  <c r="I25" i="14"/>
  <c r="K25" i="14"/>
  <c r="H31" i="14"/>
  <c r="M151" i="14"/>
  <c r="M152" i="14" s="1"/>
  <c r="G152" i="14"/>
  <c r="N99" i="14"/>
  <c r="N114" i="14" s="1"/>
  <c r="N235" i="14" s="1"/>
  <c r="N17" i="14" s="1"/>
  <c r="P58" i="14"/>
  <c r="K90" i="14"/>
  <c r="I90" i="14"/>
  <c r="Q99" i="14"/>
  <c r="Q114" i="14" s="1"/>
  <c r="M263" i="14"/>
  <c r="M234" i="14"/>
  <c r="F58" i="14"/>
  <c r="F16" i="14"/>
  <c r="Q188" i="14"/>
  <c r="Q190" i="14" s="1"/>
  <c r="P190" i="14"/>
  <c r="H263" i="14" l="1"/>
  <c r="K232" i="14"/>
  <c r="K234" i="14" s="1"/>
  <c r="D8" i="4"/>
  <c r="G8" i="4"/>
  <c r="I31" i="14"/>
  <c r="H234" i="14"/>
  <c r="D40" i="4" s="1"/>
  <c r="E40" i="4" s="1"/>
  <c r="Q58" i="14"/>
  <c r="O16" i="14"/>
  <c r="O18" i="14" s="1"/>
  <c r="P235" i="14"/>
  <c r="P17" i="14" s="1"/>
  <c r="P18" i="14" s="1"/>
  <c r="O236" i="14"/>
  <c r="O259" i="14" s="1"/>
  <c r="O265" i="14" s="1"/>
  <c r="O19" i="14" s="1"/>
  <c r="M235" i="14"/>
  <c r="M17" i="14" s="1"/>
  <c r="M18" i="14" s="1"/>
  <c r="H57" i="14"/>
  <c r="H14" i="4"/>
  <c r="C41" i="4"/>
  <c r="K31" i="14"/>
  <c r="K57" i="14" s="1"/>
  <c r="K58" i="14" s="1"/>
  <c r="K140" i="14"/>
  <c r="K143" i="14" s="1"/>
  <c r="H143" i="14"/>
  <c r="I140" i="14"/>
  <c r="K151" i="14"/>
  <c r="K152" i="14" s="1"/>
  <c r="I151" i="14"/>
  <c r="H152" i="14"/>
  <c r="K88" i="14"/>
  <c r="K99" i="14" s="1"/>
  <c r="K114" i="14" s="1"/>
  <c r="I88" i="14"/>
  <c r="H99" i="14"/>
  <c r="F236" i="14"/>
  <c r="Q235" i="14"/>
  <c r="Q17" i="14" s="1"/>
  <c r="Q18" i="14" s="1"/>
  <c r="K263" i="14"/>
  <c r="G114" i="14"/>
  <c r="N236" i="14"/>
  <c r="N259" i="14" s="1"/>
  <c r="N265" i="14" s="1"/>
  <c r="N19" i="14" s="1"/>
  <c r="N18" i="14"/>
  <c r="F17" i="14"/>
  <c r="F18" i="14" s="1"/>
  <c r="H58" i="14" l="1"/>
  <c r="I58" i="14" s="1"/>
  <c r="I57" i="14"/>
  <c r="D16" i="4"/>
  <c r="I99" i="14"/>
  <c r="D20" i="4"/>
  <c r="I143" i="14"/>
  <c r="D22" i="4"/>
  <c r="I152" i="14"/>
  <c r="G40" i="4"/>
  <c r="H40" i="4" s="1"/>
  <c r="I234" i="14"/>
  <c r="C29" i="7"/>
  <c r="P236" i="14"/>
  <c r="P259" i="14" s="1"/>
  <c r="P265" i="14" s="1"/>
  <c r="P19" i="14" s="1"/>
  <c r="H16" i="14"/>
  <c r="K16" i="14" s="1"/>
  <c r="G11" i="4"/>
  <c r="H8" i="4"/>
  <c r="G20" i="4"/>
  <c r="H20" i="4" s="1"/>
  <c r="M236" i="14"/>
  <c r="M259" i="14" s="1"/>
  <c r="M265" i="14" s="1"/>
  <c r="M19" i="14" s="1"/>
  <c r="G22" i="4"/>
  <c r="H22" i="4" s="1"/>
  <c r="H114" i="14"/>
  <c r="G16" i="4"/>
  <c r="Q236" i="14"/>
  <c r="Q259" i="14" s="1"/>
  <c r="Q265" i="14" s="1"/>
  <c r="Q19" i="14" s="1"/>
  <c r="F259" i="14"/>
  <c r="G235" i="14"/>
  <c r="S114" i="14" s="1"/>
  <c r="H235" i="14" l="1"/>
  <c r="K235" i="14" s="1"/>
  <c r="I114" i="14"/>
  <c r="I16" i="14"/>
  <c r="H16" i="4"/>
  <c r="G41" i="4"/>
  <c r="H41" i="4" s="1"/>
  <c r="D41" i="4"/>
  <c r="S224" i="14"/>
  <c r="G17" i="14"/>
  <c r="G18" i="14" s="1"/>
  <c r="G236" i="14"/>
  <c r="F265" i="14"/>
  <c r="F19" i="14" s="1"/>
  <c r="H236" i="14" l="1"/>
  <c r="H259" i="14" s="1"/>
  <c r="H265" i="14" s="1"/>
  <c r="H19" i="14" s="1"/>
  <c r="K19" i="14" s="1"/>
  <c r="H17" i="14"/>
  <c r="K17" i="14" s="1"/>
  <c r="K18" i="14" s="1"/>
  <c r="I235" i="14"/>
  <c r="I236" i="14"/>
  <c r="K236" i="14"/>
  <c r="K259" i="14" s="1"/>
  <c r="K265" i="14" s="1"/>
  <c r="G259" i="14"/>
  <c r="G265" i="14" s="1"/>
  <c r="G19" i="14" s="1"/>
  <c r="I17" i="14" l="1"/>
  <c r="H18" i="14"/>
  <c r="I18" i="14" s="1"/>
  <c r="I19" i="14"/>
  <c r="B11" i="5"/>
  <c r="B10" i="5"/>
  <c r="B9" i="5"/>
  <c r="B8" i="5"/>
  <c r="G5" i="17" s="1"/>
  <c r="C11" i="7" l="1"/>
  <c r="B26" i="5"/>
  <c r="C7" i="7" s="1"/>
  <c r="B35" i="5"/>
  <c r="B12" i="5"/>
  <c r="B17" i="5" l="1"/>
  <c r="C35" i="7" s="1"/>
  <c r="C6" i="7"/>
  <c r="B30" i="5"/>
  <c r="C34" i="7" s="1"/>
  <c r="B37" i="5" l="1"/>
  <c r="E148" i="2"/>
  <c r="E149" i="2"/>
  <c r="E150" i="2"/>
  <c r="E151" i="2"/>
  <c r="E152" i="2"/>
  <c r="E153" i="2"/>
  <c r="C154" i="2"/>
  <c r="E137" i="2"/>
  <c r="E138" i="2"/>
  <c r="E139" i="2"/>
  <c r="D140" i="2"/>
  <c r="C140" i="2"/>
  <c r="C134" i="2"/>
  <c r="D134" i="2"/>
  <c r="D131" i="2"/>
  <c r="C131" i="2"/>
  <c r="E126" i="2"/>
  <c r="C124" i="2"/>
  <c r="D124" i="2"/>
  <c r="D120" i="2"/>
  <c r="C120" i="2"/>
  <c r="D117" i="2"/>
  <c r="C117" i="2"/>
  <c r="D114" i="2"/>
  <c r="C114" i="2"/>
  <c r="C109" i="2"/>
  <c r="C105" i="2"/>
  <c r="D109" i="2"/>
  <c r="D102" i="2"/>
  <c r="C102" i="2"/>
  <c r="E97" i="2"/>
  <c r="C95" i="2"/>
  <c r="D95" i="2"/>
  <c r="E94" i="2"/>
  <c r="E95" i="2" s="1"/>
  <c r="E85" i="2"/>
  <c r="C92" i="2"/>
  <c r="D92" i="2"/>
  <c r="E87" i="2"/>
  <c r="C84" i="2"/>
  <c r="E83" i="2"/>
  <c r="E82" i="2"/>
  <c r="D84" i="2"/>
  <c r="C80" i="2"/>
  <c r="E77" i="2"/>
  <c r="E78" i="2"/>
  <c r="E79" i="2"/>
  <c r="D80" i="2"/>
  <c r="E73" i="2"/>
  <c r="D74" i="2"/>
  <c r="C74" i="2"/>
  <c r="D70" i="2"/>
  <c r="C70" i="2"/>
  <c r="E68" i="2"/>
  <c r="D58" i="2"/>
  <c r="C58" i="2"/>
  <c r="D50" i="2"/>
  <c r="C50" i="2"/>
  <c r="E31" i="2"/>
  <c r="E32" i="2"/>
  <c r="E33" i="2"/>
  <c r="E34" i="2"/>
  <c r="E35" i="2"/>
  <c r="E36" i="2"/>
  <c r="D38" i="2"/>
  <c r="C38" i="2"/>
  <c r="D29" i="2"/>
  <c r="E26" i="2"/>
  <c r="C29" i="2"/>
  <c r="E11" i="2"/>
  <c r="E10" i="2"/>
  <c r="E9" i="2"/>
  <c r="C19" i="2"/>
  <c r="D12" i="2"/>
  <c r="D20" i="2" s="1"/>
  <c r="E12" i="2" l="1"/>
  <c r="D59" i="2"/>
  <c r="D141" i="2" s="1"/>
  <c r="D142" i="2" s="1"/>
  <c r="E84" i="2"/>
  <c r="C59" i="2"/>
  <c r="C141" i="2" s="1"/>
  <c r="E141" i="2" l="1"/>
  <c r="C12" i="2"/>
  <c r="C20" i="2" s="1"/>
  <c r="C142" i="2" s="1"/>
  <c r="I12" i="2"/>
  <c r="E8" i="4"/>
  <c r="C11" i="4"/>
  <c r="C42" i="4" l="1"/>
  <c r="H11" i="4"/>
  <c r="G48" i="11"/>
  <c r="F48" i="11"/>
  <c r="E48" i="11"/>
  <c r="H47" i="11"/>
  <c r="H46" i="11"/>
  <c r="H45" i="11"/>
  <c r="H44" i="11"/>
  <c r="H43" i="11"/>
  <c r="H42" i="11"/>
  <c r="H41" i="11"/>
  <c r="H40" i="11"/>
  <c r="G28" i="11"/>
  <c r="G29" i="11"/>
  <c r="G30" i="11"/>
  <c r="G31" i="11"/>
  <c r="G32" i="11"/>
  <c r="G27" i="11"/>
  <c r="H48" i="11" l="1"/>
  <c r="E58" i="2"/>
  <c r="I113" i="2" l="1"/>
  <c r="I111" i="2"/>
  <c r="E113" i="2"/>
  <c r="E111" i="2"/>
  <c r="I89" i="2"/>
  <c r="I91" i="2"/>
  <c r="E104" i="2"/>
  <c r="E105" i="2" s="1"/>
  <c r="E91" i="2"/>
  <c r="E89" i="2"/>
  <c r="E57" i="2"/>
  <c r="I57" i="2" l="1"/>
  <c r="I104" i="2" l="1"/>
  <c r="I105" i="2" s="1"/>
  <c r="E100" i="2" l="1"/>
  <c r="I100" i="2"/>
  <c r="C5" i="10" l="1"/>
  <c r="E5" i="10"/>
  <c r="F5" i="10"/>
  <c r="G5" i="10"/>
  <c r="H5" i="10"/>
  <c r="I5" i="10"/>
  <c r="J5" i="10"/>
  <c r="D5" i="10"/>
  <c r="D7" i="10" l="1"/>
  <c r="E136" i="2"/>
  <c r="E140" i="2" s="1"/>
  <c r="E65" i="2"/>
  <c r="E17" i="2"/>
  <c r="I65" i="2" l="1"/>
  <c r="I17" i="2"/>
  <c r="I136" i="2" l="1"/>
  <c r="I140" i="2" l="1"/>
  <c r="E56" i="2" l="1"/>
  <c r="E88" i="2"/>
  <c r="E54" i="2"/>
  <c r="I88" i="2" l="1"/>
  <c r="E98" i="2"/>
  <c r="I56" i="2" l="1"/>
  <c r="I54" i="2"/>
  <c r="I98" i="2"/>
  <c r="E37" i="2" l="1"/>
  <c r="E38" i="2" s="1"/>
  <c r="E130" i="2"/>
  <c r="E76" i="2"/>
  <c r="E80" i="2" s="1"/>
  <c r="I37" i="2" l="1"/>
  <c r="I76" i="2"/>
  <c r="I130" i="2"/>
  <c r="I38" i="2"/>
  <c r="I80" i="2"/>
  <c r="E90" i="2" l="1"/>
  <c r="E92" i="2" s="1"/>
  <c r="I92" i="2" l="1"/>
  <c r="I90" i="2"/>
  <c r="E147" i="2" l="1"/>
  <c r="E146" i="2"/>
  <c r="E154" i="2" s="1"/>
  <c r="E127" i="2" l="1"/>
  <c r="E108" i="2"/>
  <c r="I108" i="2" l="1"/>
  <c r="E52" i="2"/>
  <c r="D5" i="2"/>
  <c r="I127" i="2" l="1"/>
  <c r="E122" i="2" l="1"/>
  <c r="A3" i="2"/>
  <c r="A3" i="4"/>
  <c r="E23" i="4" l="1"/>
  <c r="E29" i="4" l="1"/>
  <c r="E22" i="4"/>
  <c r="E20" i="4"/>
  <c r="E25" i="4"/>
  <c r="E24" i="4"/>
  <c r="E39" i="4"/>
  <c r="E15" i="4"/>
  <c r="I122" i="2"/>
  <c r="E129" i="2"/>
  <c r="I129" i="2" l="1"/>
  <c r="E61" i="2"/>
  <c r="E116" i="2"/>
  <c r="E42" i="2"/>
  <c r="E66" i="2"/>
  <c r="E46" i="2"/>
  <c r="E99" i="2"/>
  <c r="E27" i="2"/>
  <c r="E123" i="2"/>
  <c r="E67" i="2"/>
  <c r="E43" i="2"/>
  <c r="E47" i="2"/>
  <c r="E41" i="2"/>
  <c r="E69" i="2"/>
  <c r="E48" i="2"/>
  <c r="E55" i="2"/>
  <c r="E63" i="2"/>
  <c r="E28" i="2"/>
  <c r="E64" i="2"/>
  <c r="E119" i="2"/>
  <c r="E45" i="2"/>
  <c r="E49" i="2"/>
  <c r="E17" i="4"/>
  <c r="E40" i="2"/>
  <c r="E53" i="2"/>
  <c r="E72" i="2"/>
  <c r="E74" i="2" s="1"/>
  <c r="E112" i="2"/>
  <c r="E114" i="2" s="1"/>
  <c r="E133" i="2"/>
  <c r="E25" i="2"/>
  <c r="E44" i="2"/>
  <c r="E62" i="2"/>
  <c r="E101" i="2"/>
  <c r="E102" i="2" l="1"/>
  <c r="E29" i="2"/>
  <c r="E128" i="2"/>
  <c r="E131" i="2" s="1"/>
  <c r="E107" i="2"/>
  <c r="E124" i="2"/>
  <c r="I150" i="2" l="1"/>
  <c r="I146" i="2"/>
  <c r="I124" i="2" l="1"/>
  <c r="I123" i="2"/>
  <c r="I147" i="2" l="1"/>
  <c r="B142" i="2" l="1"/>
  <c r="E109" i="2" l="1"/>
  <c r="E18" i="2"/>
  <c r="E19" i="2" s="1"/>
  <c r="I55" i="2" l="1"/>
  <c r="E50" i="2"/>
  <c r="I47" i="2" l="1"/>
  <c r="I43" i="2"/>
  <c r="I45" i="2"/>
  <c r="I46" i="2"/>
  <c r="I44" i="2"/>
  <c r="I66" i="2"/>
  <c r="I99" i="2"/>
  <c r="I49" i="2"/>
  <c r="I48" i="2"/>
  <c r="I64" i="2"/>
  <c r="I131" i="2"/>
  <c r="I128" i="2"/>
  <c r="E59" i="2"/>
  <c r="I69" i="2" l="1"/>
  <c r="I62" i="2"/>
  <c r="I67" i="2"/>
  <c r="I28" i="2"/>
  <c r="I27" i="2"/>
  <c r="I63" i="2"/>
  <c r="I133" i="2" l="1"/>
  <c r="I25" i="2"/>
  <c r="I116" i="2"/>
  <c r="I119" i="2"/>
  <c r="I53" i="2"/>
  <c r="I18" i="2"/>
  <c r="I19" i="2" s="1"/>
  <c r="I29" i="2"/>
  <c r="I40" i="2" l="1"/>
  <c r="I72" i="2"/>
  <c r="I112" i="2"/>
  <c r="I114" i="2" s="1"/>
  <c r="I107" i="2"/>
  <c r="I61" i="2"/>
  <c r="I101" i="2"/>
  <c r="I109" i="2"/>
  <c r="I74" i="2"/>
  <c r="I42" i="2" l="1"/>
  <c r="I41" i="2"/>
  <c r="I102" i="2"/>
  <c r="I50" i="2"/>
  <c r="I58" i="2" l="1"/>
  <c r="I52" i="2"/>
  <c r="E120" i="2"/>
  <c r="E35" i="4" l="1"/>
  <c r="I59" i="2" l="1"/>
  <c r="I120" i="2" l="1"/>
  <c r="C5" i="4" l="1"/>
  <c r="C8" i="7" l="1"/>
  <c r="F131" i="2" l="1"/>
  <c r="I152" i="2" l="1"/>
  <c r="I154" i="2"/>
  <c r="E134" i="2" l="1"/>
  <c r="I134" i="2" l="1"/>
  <c r="C36" i="7" l="1"/>
  <c r="E14" i="2" l="1"/>
  <c r="E15" i="2" s="1"/>
  <c r="E20" i="2" s="1"/>
  <c r="E142" i="2" s="1"/>
  <c r="E14" i="4" l="1"/>
  <c r="D11" i="4"/>
  <c r="E9" i="4"/>
  <c r="I14" i="2" l="1"/>
  <c r="E16" i="4"/>
  <c r="E10" i="4"/>
  <c r="E70" i="2"/>
  <c r="E11" i="4"/>
  <c r="I15" i="2" l="1"/>
  <c r="E18" i="4" l="1"/>
  <c r="I20" i="2" l="1"/>
  <c r="E26" i="4"/>
  <c r="E19" i="4"/>
  <c r="E117" i="2"/>
  <c r="E32" i="4" l="1"/>
  <c r="E30" i="4"/>
  <c r="I70" i="2"/>
  <c r="E31" i="4" l="1"/>
  <c r="D42" i="4" l="1"/>
  <c r="E37" i="4"/>
  <c r="E33" i="4"/>
  <c r="E38" i="4"/>
  <c r="E41" i="4" l="1"/>
  <c r="E42" i="4" s="1"/>
  <c r="I141" i="2" l="1"/>
  <c r="I117" i="2"/>
  <c r="I142" i="2" l="1"/>
  <c r="G42" i="4" l="1"/>
  <c r="C31" i="7" l="1"/>
  <c r="K195" i="17" l="1"/>
  <c r="D195" i="17" s="1"/>
  <c r="E195" i="17" l="1"/>
  <c r="K197" i="17"/>
  <c r="K203" i="17" l="1"/>
  <c r="D197" i="17"/>
  <c r="K83" i="17"/>
  <c r="E83" i="17" s="1"/>
  <c r="I84" i="17"/>
  <c r="I117" i="17"/>
  <c r="H84" i="17"/>
  <c r="G84" i="17"/>
  <c r="J84" i="17"/>
  <c r="K72" i="17"/>
  <c r="K84" i="17" l="1"/>
  <c r="E197" i="17"/>
  <c r="E203" i="17" s="1"/>
  <c r="D203" i="17"/>
  <c r="D72" i="17"/>
  <c r="I137" i="17"/>
  <c r="I288" i="17" s="1"/>
  <c r="I7" i="17" s="1"/>
  <c r="G117" i="17"/>
  <c r="G137" i="17" s="1"/>
  <c r="G288" i="17" s="1"/>
  <c r="G7" i="17" s="1"/>
  <c r="J117" i="17"/>
  <c r="J137" i="17" s="1"/>
  <c r="J288" i="17" s="1"/>
  <c r="J7" i="17" s="1"/>
  <c r="J289" i="17" l="1"/>
  <c r="J295" i="17" s="1"/>
  <c r="G289" i="17"/>
  <c r="G295" i="17" s="1"/>
  <c r="G8" i="17"/>
  <c r="H117" i="17"/>
  <c r="H137" i="17" s="1"/>
  <c r="H288" i="17" s="1"/>
  <c r="H7" i="17" s="1"/>
  <c r="K107" i="17"/>
  <c r="D107" i="17" s="1"/>
  <c r="E72" i="17"/>
  <c r="E84" i="17" s="1"/>
  <c r="D84" i="17"/>
  <c r="K108" i="17"/>
  <c r="I289" i="17"/>
  <c r="I295" i="17" s="1"/>
  <c r="D108" i="17" l="1"/>
  <c r="E108" i="17" s="1"/>
  <c r="K117" i="17"/>
  <c r="K137" i="17" s="1"/>
  <c r="K288" i="17" s="1"/>
  <c r="H289" i="17"/>
  <c r="H295" i="17" s="1"/>
  <c r="C12" i="7" l="1"/>
  <c r="C14" i="7" s="1"/>
  <c r="K289" i="17"/>
  <c r="K295" i="17" s="1"/>
  <c r="E107" i="17"/>
  <c r="E117" i="17" s="1"/>
  <c r="E137" i="17" s="1"/>
  <c r="D117" i="17"/>
  <c r="D137" i="17" s="1"/>
  <c r="D288" i="17" s="1"/>
  <c r="D289" i="17" s="1"/>
  <c r="E289" i="17" l="1"/>
  <c r="E295" i="17" s="1"/>
  <c r="D295" i="17"/>
  <c r="E306" i="17"/>
  <c r="K315" i="17"/>
  <c r="D315" i="17" s="1"/>
  <c r="E315" i="17" s="1"/>
  <c r="K316" i="17"/>
  <c r="D316" i="17" s="1"/>
  <c r="E316" i="17" s="1"/>
  <c r="K311" i="17"/>
  <c r="D311" i="17" s="1"/>
  <c r="E311" i="17" s="1"/>
  <c r="K307" i="17"/>
  <c r="D307" i="17" s="1"/>
  <c r="E307" i="17" s="1"/>
  <c r="K306" i="17"/>
  <c r="D306" i="17" s="1"/>
  <c r="K313" i="17"/>
  <c r="D313" i="17" s="1"/>
  <c r="E313" i="17" s="1"/>
  <c r="K314" i="17"/>
  <c r="D314" i="17" s="1"/>
  <c r="E314" i="17" s="1"/>
  <c r="K310" i="17"/>
  <c r="D310" i="17" s="1"/>
  <c r="E310" i="17" s="1"/>
  <c r="K318" i="17" l="1"/>
  <c r="D318" i="17" s="1"/>
  <c r="E318" i="17" s="1"/>
  <c r="K302" i="17"/>
  <c r="D302" i="17" s="1"/>
  <c r="K312" i="17"/>
  <c r="D312" i="17" s="1"/>
  <c r="E312" i="17" s="1"/>
  <c r="K308" i="17"/>
  <c r="D308" i="17" s="1"/>
  <c r="E308" i="17" s="1"/>
  <c r="K317" i="17"/>
  <c r="D317" i="17" s="1"/>
  <c r="E317" i="17" s="1"/>
  <c r="K304" i="17"/>
  <c r="D304" i="17" s="1"/>
  <c r="E304" i="17" s="1"/>
  <c r="G319" i="17"/>
  <c r="G11" i="17" s="1"/>
  <c r="G13" i="17" s="1"/>
  <c r="K303" i="17"/>
  <c r="D303" i="17" s="1"/>
  <c r="E303" i="17" s="1"/>
  <c r="K309" i="17"/>
  <c r="D309" i="17" s="1"/>
  <c r="E309" i="17" s="1"/>
  <c r="E302" i="17" l="1"/>
  <c r="H5" i="17"/>
  <c r="H8" i="17" s="1"/>
  <c r="G16" i="17"/>
  <c r="H319" i="17"/>
  <c r="H11" i="17" s="1"/>
  <c r="J319" i="17"/>
  <c r="J11" i="17" s="1"/>
  <c r="I319" i="17"/>
  <c r="I11" i="17" s="1"/>
  <c r="K305" i="17"/>
  <c r="K319" i="17" l="1"/>
  <c r="D305" i="17"/>
  <c r="H13" i="17"/>
  <c r="E305" i="17" l="1"/>
  <c r="E319" i="17" s="1"/>
  <c r="D319" i="17"/>
  <c r="I5" i="17"/>
  <c r="I8" i="17" s="1"/>
  <c r="I13" i="17" s="1"/>
  <c r="H16" i="17"/>
  <c r="J5" i="17" l="1"/>
  <c r="J8" i="17" s="1"/>
  <c r="J13" i="17" s="1"/>
  <c r="J16" i="17" s="1"/>
  <c r="I16" i="17"/>
  <c r="E160" i="17"/>
  <c r="E168" i="17"/>
  <c r="E28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tc={DB108D79-3778-904E-AF48-39364FBA7C0C}</author>
  </authors>
  <commentList>
    <comment ref="F40" authorId="0" shapeId="0" xr:uid="{00000000-0006-0000-09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$2874 misclassified items</t>
      </text>
    </comment>
  </commentList>
</comments>
</file>

<file path=xl/sharedStrings.xml><?xml version="1.0" encoding="utf-8"?>
<sst xmlns="http://schemas.openxmlformats.org/spreadsheetml/2006/main" count="1818" uniqueCount="934">
  <si>
    <t>Budget</t>
  </si>
  <si>
    <t>Gross Profit</t>
  </si>
  <si>
    <t>Annual Budget</t>
  </si>
  <si>
    <t>YTD Through</t>
  </si>
  <si>
    <t xml:space="preserve">Actuals YTD  </t>
  </si>
  <si>
    <t>Variance</t>
  </si>
  <si>
    <t>Actuals YTD + Projections</t>
  </si>
  <si>
    <t>Remaining</t>
  </si>
  <si>
    <t>Full Year</t>
  </si>
  <si>
    <t>Zero</t>
  </si>
  <si>
    <t>Income</t>
  </si>
  <si>
    <t>Total Income</t>
  </si>
  <si>
    <t>Expenses</t>
  </si>
  <si>
    <t>Total Expenses</t>
  </si>
  <si>
    <t>Comments</t>
  </si>
  <si>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</si>
  <si>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</si>
  <si>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</si>
  <si>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</si>
  <si>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</si>
  <si>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</si>
  <si>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</si>
  <si>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</si>
  <si>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</si>
  <si>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</si>
  <si>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</si>
  <si>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</si>
  <si>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</si>
  <si>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</si>
  <si>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</si>
  <si>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</si>
  <si>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</si>
  <si>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</si>
  <si>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</si>
  <si>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</si>
  <si>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</si>
  <si>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</si>
  <si>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 xml:space="preserve">      Retained Earnings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</si>
  <si>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</si>
  <si>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</si>
  <si>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</si>
  <si>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</si>
  <si>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</si>
  <si>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</si>
  <si>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</si>
  <si>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</si>
  <si>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</si>
  <si>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Total days of the year: 365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</si>
  <si>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</si>
  <si>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</si>
  <si>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</si>
  <si>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</si>
  <si>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</si>
  <si>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</si>
  <si>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</si>
  <si>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</si>
  <si>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</si>
  <si>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</si>
  <si>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</si>
  <si>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</si>
  <si>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</si>
  <si>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</si>
  <si>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>Profit &amp; Loss Detailed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</si>
  <si>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</si>
  <si>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</si>
  <si>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</si>
  <si>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</si>
  <si>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</si>
  <si>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</si>
  <si>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</si>
  <si>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</si>
  <si>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</si>
  <si>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</si>
  <si>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</si>
  <si>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</si>
  <si>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</si>
  <si>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</si>
  <si>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</si>
  <si>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</si>
  <si>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</si>
  <si>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</si>
  <si>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</si>
  <si>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</si>
  <si>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</si>
  <si>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</si>
  <si>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</si>
  <si>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</si>
  <si>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</si>
  <si>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</si>
  <si>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</si>
  <si>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</si>
  <si>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</si>
  <si>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</si>
  <si>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</si>
  <si>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</si>
  <si>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</si>
  <si>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</si>
  <si>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</si>
  <si>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</si>
  <si>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</si>
  <si>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</si>
  <si>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>Notes</t>
  </si>
  <si>
    <t xml:space="preserve"> 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</si>
  <si>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</si>
  <si>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</si>
  <si>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</si>
  <si>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</si>
  <si>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</si>
  <si>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</si>
  <si>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</si>
  <si>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</si>
  <si>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</si>
  <si>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>CAPITAL BUDGET</t>
  </si>
  <si>
    <t>1500 Fixed Assets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</si>
  <si>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</si>
  <si>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</si>
  <si>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</si>
  <si>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</si>
  <si>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Fixed Assets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</si>
  <si>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</si>
  <si>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</si>
  <si>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</si>
  <si>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</si>
  <si>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</si>
  <si>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</si>
  <si>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</si>
  <si>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</si>
  <si>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</si>
  <si>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</si>
  <si>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>Will file for riembursement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</si>
  <si>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</si>
  <si>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</si>
  <si>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</si>
  <si>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</si>
  <si>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</si>
  <si>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</si>
  <si>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</si>
  <si>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</si>
  <si>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</si>
  <si>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</si>
  <si>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</si>
  <si>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</si>
  <si>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</si>
  <si>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</si>
  <si>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</si>
  <si>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</si>
  <si>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</si>
  <si>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</si>
  <si>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</si>
  <si>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</si>
  <si>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</si>
  <si>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</si>
  <si>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</si>
  <si>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</si>
  <si>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</si>
  <si>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</si>
  <si>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</si>
  <si>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</si>
  <si>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</si>
  <si>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</si>
  <si>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>Website and hosting; $250/month going forward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</si>
  <si>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</si>
  <si>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</si>
  <si>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</si>
  <si>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</si>
  <si>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</si>
  <si>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</si>
  <si>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</si>
  <si>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</si>
  <si>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</si>
  <si>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   5520 STD, LTD, Life Insur. and NYS Disability Insur.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</si>
  <si>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</si>
  <si>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</si>
  <si>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</si>
  <si>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</si>
  <si>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</si>
  <si>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</si>
  <si>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</si>
  <si>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</si>
  <si>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</si>
  <si>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</si>
  <si>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>To-Nasia</t>
  </si>
  <si>
    <t>Cohen</t>
  </si>
  <si>
    <t>Ambrosia</t>
  </si>
  <si>
    <t>Johnson</t>
  </si>
  <si>
    <t>Shanell</t>
  </si>
  <si>
    <t>Torres</t>
  </si>
  <si>
    <t>Life and AD&amp;D</t>
  </si>
  <si>
    <t>LTD</t>
  </si>
  <si>
    <t>NYDBL</t>
  </si>
  <si>
    <t>STD</t>
  </si>
  <si>
    <t>Grand Total</t>
  </si>
  <si>
    <t>Medical EE</t>
  </si>
  <si>
    <t>Medical ER</t>
  </si>
  <si>
    <t>Dental EE</t>
  </si>
  <si>
    <t>Vision EE</t>
  </si>
  <si>
    <t xml:space="preserve">      6815 Software (non capitalized)</t>
  </si>
  <si>
    <t xml:space="preserve">         1525 Pupil Computers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</si>
  <si>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</si>
  <si>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</si>
  <si>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</si>
  <si>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</si>
  <si>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7101 Student Uniforms</t>
  </si>
  <si>
    <t xml:space="preserve">   7100 Student Services</t>
  </si>
  <si>
    <t xml:space="preserve">   Total 7100 Student Services</t>
  </si>
  <si>
    <t xml:space="preserve">         1510 Office Equipment</t>
  </si>
  <si>
    <t>KEY FINDINGS FROM YEAR 0</t>
  </si>
  <si>
    <t>- Savings in Comp primarily due to DOO timing</t>
  </si>
  <si>
    <t>- BES didn't bill us for year 0, but we spent funds another consultant.  If we have to pay BES we will be $6k over budget</t>
  </si>
  <si>
    <t>- All furniture and equipment were budgeted as an asset , we need to ensure that we factor how much will be expensed going forward</t>
  </si>
  <si>
    <t>- Staff Recruitment savings due to over estimate for LinkedIn and events</t>
  </si>
  <si>
    <t>meals</t>
  </si>
  <si>
    <t>Materials</t>
  </si>
  <si>
    <t>Linkedin</t>
  </si>
  <si>
    <t>Event</t>
  </si>
  <si>
    <t>Clothes</t>
  </si>
  <si>
    <t>Parking</t>
  </si>
  <si>
    <t>Fingerprints</t>
  </si>
  <si>
    <t>Percentage is too high, need to move to T&amp;E</t>
  </si>
  <si>
    <t>Do not think this is cover, need to refrain</t>
  </si>
  <si>
    <t>need to move to T&amp;E</t>
  </si>
  <si>
    <t>- Based on actuals from year 0 we need to consider reducing our year 1 budget and revisiting the overall T&amp;E budget</t>
  </si>
  <si>
    <t>- Student recruitment savings primarily due to under spend in vanguard</t>
  </si>
  <si>
    <t>Schoolmint</t>
  </si>
  <si>
    <t>Vanguard</t>
  </si>
  <si>
    <t>Ad</t>
  </si>
  <si>
    <t>We planned for $12k</t>
  </si>
  <si>
    <t>We planned for $10k</t>
  </si>
  <si>
    <t>- Based on actuals from year 0 we may want to reduce Vanguard for year 1 because it is at $10k</t>
  </si>
  <si>
    <t>- Capital</t>
  </si>
  <si>
    <t>Year 0 Budget</t>
  </si>
  <si>
    <t>Actuals (incldg exp)</t>
  </si>
  <si>
    <t>Pending Invoices</t>
  </si>
  <si>
    <t>Variance to Budget</t>
  </si>
  <si>
    <t>1/2 deposit Wireless access points, printer</t>
  </si>
  <si>
    <t>1/2 deposit - Classroom A/V Equipment, Wall mount</t>
  </si>
  <si>
    <t>13 laptops and 1 desktop</t>
  </si>
  <si>
    <t>1/2 deposit - 40 Chromebooks and setup</t>
  </si>
  <si>
    <t xml:space="preserve">         1530 Software</t>
  </si>
  <si>
    <t>TOTAL CAPITAL BUDGET</t>
  </si>
  <si>
    <t>- Over all we met our revenue expectations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</si>
  <si>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</si>
  <si>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</si>
  <si>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</si>
  <si>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</si>
  <si>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</si>
  <si>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</si>
  <si>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</si>
  <si>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</si>
  <si>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</si>
  <si>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</si>
  <si>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</si>
  <si>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</si>
  <si>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>Base rent only doesn't include nurse addition</t>
  </si>
  <si>
    <t>not sure if SPED numbers are in here will check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</si>
  <si>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</si>
  <si>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</si>
  <si>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</si>
  <si>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</si>
  <si>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</si>
  <si>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</si>
  <si>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</si>
  <si>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</si>
  <si>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>We need to check budget calc</t>
  </si>
  <si>
    <t xml:space="preserve">      6045 Substitute Teaching Services</t>
  </si>
  <si>
    <t>CSBM invoice that has not been paid yet but showing on ledger</t>
  </si>
  <si>
    <t>CSBM refund of 1 year of CSP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</si>
  <si>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</si>
  <si>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</si>
  <si>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</si>
  <si>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</si>
  <si>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</si>
  <si>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</si>
  <si>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</si>
  <si>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</si>
  <si>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</si>
  <si>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</si>
  <si>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</si>
  <si>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</si>
  <si>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</si>
  <si>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</si>
  <si>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</si>
  <si>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</si>
  <si>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</si>
  <si>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</si>
  <si>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</si>
  <si>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</si>
  <si>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</si>
  <si>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>Staff computers</t>
  </si>
  <si>
    <t xml:space="preserve">         1549 Security</t>
  </si>
  <si>
    <t>Actuals based on staff elections</t>
  </si>
  <si>
    <t>Clowns and photography</t>
  </si>
  <si>
    <t>Board on Track</t>
  </si>
  <si>
    <t xml:space="preserve">Mostly debti card transactions </t>
  </si>
  <si>
    <t>Vaad Printing</t>
  </si>
  <si>
    <t>Mostly debit card transactions</t>
  </si>
  <si>
    <t>setup fee</t>
  </si>
  <si>
    <t>Powerschool $13,700</t>
  </si>
  <si>
    <t>Shanell Torres reimbursement for staff PD</t>
  </si>
  <si>
    <t>Vector Mgt Services $350</t>
  </si>
  <si>
    <t>Ubers</t>
  </si>
  <si>
    <t>Budget needs to be increased to reflect the correct amount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</si>
  <si>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</si>
  <si>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</si>
  <si>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</si>
  <si>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</si>
  <si>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</si>
  <si>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</si>
  <si>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</si>
  <si>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</si>
  <si>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</si>
  <si>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</si>
  <si>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</si>
  <si>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</si>
  <si>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</si>
  <si>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</si>
  <si>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</si>
  <si>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</si>
  <si>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</si>
  <si>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</si>
  <si>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</si>
  <si>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</si>
  <si>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</si>
  <si>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</si>
  <si>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</si>
  <si>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</si>
  <si>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</si>
  <si>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</si>
  <si>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</si>
  <si>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</si>
  <si>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</si>
  <si>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</si>
  <si>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</si>
  <si>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</si>
  <si>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</si>
  <si>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</si>
  <si>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</si>
  <si>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</si>
  <si>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1561 Construction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</si>
  <si>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</si>
  <si>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</si>
  <si>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</si>
  <si>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</si>
  <si>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</si>
  <si>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</si>
  <si>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</si>
  <si>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</si>
  <si>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</si>
  <si>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</si>
  <si>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</si>
  <si>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</si>
  <si>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</si>
  <si>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</si>
  <si>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</si>
  <si>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</si>
  <si>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</si>
  <si>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</si>
  <si>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</si>
  <si>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</si>
  <si>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</si>
  <si>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</si>
  <si>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</si>
  <si>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</si>
  <si>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</si>
  <si>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</si>
  <si>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</si>
  <si>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</si>
  <si>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</si>
  <si>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</si>
  <si>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</si>
  <si>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</si>
  <si>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</si>
  <si>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</si>
  <si>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</si>
  <si>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</si>
  <si>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</si>
  <si>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</si>
  <si>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</si>
  <si>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</si>
  <si>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</si>
  <si>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</si>
  <si>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</si>
  <si>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</si>
  <si>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</si>
  <si>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</si>
  <si>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</si>
  <si>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</si>
  <si>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</si>
  <si>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</si>
  <si>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</si>
  <si>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</si>
  <si>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</si>
  <si>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</si>
  <si>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</si>
  <si>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</si>
  <si>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</si>
  <si>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</si>
  <si>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</si>
  <si>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</si>
  <si>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</si>
  <si>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</si>
  <si>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</si>
  <si>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</si>
  <si>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</si>
  <si>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</si>
  <si>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</si>
  <si>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</si>
  <si>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</si>
  <si>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</si>
  <si>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</si>
  <si>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</si>
  <si>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</si>
  <si>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</si>
  <si>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</si>
  <si>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</si>
  <si>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</si>
  <si>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</si>
  <si>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</si>
  <si>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</si>
  <si>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</si>
  <si>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</si>
  <si>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</si>
  <si>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</si>
  <si>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</si>
  <si>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</si>
  <si>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</si>
  <si>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</si>
  <si>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</si>
  <si>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</si>
  <si>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</si>
  <si>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</si>
  <si>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</si>
  <si>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</si>
  <si>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</si>
  <si>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</si>
  <si>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</si>
  <si>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</si>
  <si>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</si>
  <si>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</si>
  <si>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</si>
  <si>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</si>
  <si>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</si>
  <si>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</si>
  <si>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</si>
  <si>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</si>
  <si>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</si>
  <si>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</si>
  <si>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</si>
  <si>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</si>
  <si>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</si>
  <si>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</si>
  <si>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</si>
  <si>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</si>
  <si>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</si>
  <si>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</si>
  <si>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</si>
  <si>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</si>
  <si>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</si>
  <si>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</si>
  <si>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</si>
  <si>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</si>
  <si>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</si>
  <si>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</si>
  <si>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</si>
  <si>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</si>
  <si>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</si>
  <si>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</si>
  <si>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</si>
  <si>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</si>
  <si>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</si>
  <si>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</si>
  <si>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</si>
  <si>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</si>
  <si>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</si>
  <si>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</si>
  <si>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</si>
  <si>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</si>
  <si>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</si>
  <si>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</si>
  <si>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</si>
  <si>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</si>
  <si>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</si>
  <si>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</si>
  <si>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</si>
  <si>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</si>
  <si>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</si>
  <si>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</si>
  <si>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</si>
  <si>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</si>
  <si>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</si>
  <si>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</si>
  <si>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</si>
  <si>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</si>
  <si>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</si>
  <si>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</si>
  <si>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</si>
  <si>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</si>
  <si>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</si>
  <si>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</si>
  <si>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Contractors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</si>
  <si>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</si>
  <si>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</si>
  <si>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</si>
  <si>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</si>
  <si>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</si>
  <si>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</si>
  <si>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</si>
  <si>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</si>
  <si>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</si>
  <si>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</si>
  <si>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</si>
  <si>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</si>
  <si>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</si>
  <si>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</si>
  <si>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</si>
  <si>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</si>
  <si>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</si>
  <si>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</si>
  <si>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</si>
  <si>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</si>
  <si>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</si>
  <si>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</si>
  <si>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</si>
  <si>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2018-2019 Pre-Opening</t>
  </si>
  <si>
    <t>School Year 2019-2020 (Year 1)</t>
  </si>
  <si>
    <t>2020-2021</t>
  </si>
  <si>
    <t>2021-2022</t>
  </si>
  <si>
    <t>2022-2023</t>
  </si>
  <si>
    <t>2023-2024</t>
  </si>
  <si>
    <t>Budget Notes</t>
  </si>
  <si>
    <t>Actual</t>
  </si>
  <si>
    <t>Original Budget</t>
  </si>
  <si>
    <t>Approved Budget</t>
  </si>
  <si>
    <t>$ Remaining</t>
  </si>
  <si>
    <t>Year 1 Amended</t>
  </si>
  <si>
    <t>Year 2</t>
  </si>
  <si>
    <t>Year 3</t>
  </si>
  <si>
    <t>Year 4</t>
  </si>
  <si>
    <t>Year 5</t>
  </si>
  <si>
    <t>Staff Count</t>
  </si>
  <si>
    <t>SEE STAFF DETAIL TAB</t>
  </si>
  <si>
    <t>Authorized Enrollment</t>
  </si>
  <si>
    <t>Total Enrollment</t>
  </si>
  <si>
    <t>SEE ENROLLMENT TAB (120 enrollment, 4% attrition (previously 12%))</t>
  </si>
  <si>
    <t>SpEd Enrollment 
(20-60%)</t>
  </si>
  <si>
    <t>SpEd Enrollment 
(&gt;60%)</t>
  </si>
  <si>
    <t>FRPL%</t>
  </si>
  <si>
    <t>Per Pupil Allocation</t>
  </si>
  <si>
    <t>Sped Allocation
(20-60%)</t>
  </si>
  <si>
    <t>no change in allocation amounts</t>
  </si>
  <si>
    <t>Sped Allocation 
(&gt;60%)</t>
  </si>
  <si>
    <t xml:space="preserve">REVENUE </t>
  </si>
  <si>
    <t>EXPENSES</t>
  </si>
  <si>
    <t>NET INCOME/(DEFICIT)</t>
  </si>
  <si>
    <t>CASH INCOME/(DEFICIT)</t>
  </si>
  <si>
    <t>NOTES</t>
  </si>
  <si>
    <t>INCOME</t>
  </si>
  <si>
    <t>Lesser of 30% of Enrollment and Lease</t>
  </si>
  <si>
    <t>$58.25/student</t>
  </si>
  <si>
    <t>$14.98/student</t>
  </si>
  <si>
    <t>$6.25/student</t>
  </si>
  <si>
    <t>Using DOE school food</t>
  </si>
  <si>
    <t>year 1 grant only. $185K plus $450/student</t>
  </si>
  <si>
    <t>Will determine later in year if this grant will still exist. Charter estimates $188/student</t>
  </si>
  <si>
    <t>$1000/ Greater than 60% sped services student</t>
  </si>
  <si>
    <t>$500/FRPL student (87%)</t>
  </si>
  <si>
    <t>$40/FRPL student (87%)</t>
  </si>
  <si>
    <t>Not eligible until year two</t>
  </si>
  <si>
    <t>Based on E-rate award</t>
  </si>
  <si>
    <t>Year two of CSP</t>
  </si>
  <si>
    <t>Board Giving - ~$2k/board member</t>
  </si>
  <si>
    <t>Not in year one</t>
  </si>
  <si>
    <t xml:space="preserve">         5115 Dean of Students</t>
  </si>
  <si>
    <t>Martial arts teacher will do some Dean duties</t>
  </si>
  <si>
    <t>8 teachers</t>
  </si>
  <si>
    <t>Dean of student supports will teach special education in year one</t>
  </si>
  <si>
    <t>Potentially a dance teacher half day, Martial arts teacher w/some dean responsibilities</t>
  </si>
  <si>
    <t>1% of salaries</t>
  </si>
  <si>
    <t>6.2% of salaries</t>
  </si>
  <si>
    <t>1.45% of salaries</t>
  </si>
  <si>
    <t>Assumes 100% enrollment in employee only level, plus mid-year estimated increase - see Little Bird tab</t>
  </si>
  <si>
    <t>N/A</t>
  </si>
  <si>
    <t>1% of salaries - Ambrosia will follow up with invoice</t>
  </si>
  <si>
    <t xml:space="preserve">         5520 STD, LTD, Life Insur. and NYS Disability Insur., HSA and AD&amp;D</t>
  </si>
  <si>
    <t>Refer to Little Bird Tab</t>
  </si>
  <si>
    <t>Will need referrals</t>
  </si>
  <si>
    <t>PKF O'Connor Davies - audit, 990 &amp; CSP Agreed Upon Procedures</t>
  </si>
  <si>
    <t>Estimate of financial services contract</t>
  </si>
  <si>
    <t>Will be using Lawyer's Alliance. This is for incidentals</t>
  </si>
  <si>
    <t>Title ($5.5K), DYCD ($5000) Note: Refund of $4K received from CSBM</t>
  </si>
  <si>
    <t>Melissa Garber</t>
  </si>
  <si>
    <t>Director of Special Supports - additional services</t>
  </si>
  <si>
    <t>$4,500 NYCCSC SPED Collaborative</t>
  </si>
  <si>
    <t>Possible will hire an additional teaching fellow</t>
  </si>
  <si>
    <t>(Original comment: BES Follow on support ($10K), Nurse @93k (See nurse tab)), Misc. professionals and cunsulting</t>
  </si>
  <si>
    <t>Food/snacks at board meetings</t>
  </si>
  <si>
    <t>Placeholder</t>
  </si>
  <si>
    <t>$250/student</t>
  </si>
  <si>
    <t>$1000/classroom</t>
  </si>
  <si>
    <t>Martial arts (equipment - $1440) and dance supplies</t>
  </si>
  <si>
    <t>Software</t>
  </si>
  <si>
    <t>Library books</t>
  </si>
  <si>
    <t>$200/sped student</t>
  </si>
  <si>
    <t>$100/student</t>
  </si>
  <si>
    <t>Lifelong Readers (13k) Reading Mastery (6k)  Lit Computer Program (6k)</t>
  </si>
  <si>
    <t>Homework parties and other events</t>
  </si>
  <si>
    <t>Literacy and math night materials and snacks</t>
  </si>
  <si>
    <t>Two shows per year ($1500/show), + Stepping up ceremony ($3000)</t>
  </si>
  <si>
    <t>3 Machines at $1276/month</t>
  </si>
  <si>
    <t>$346 per month</t>
  </si>
  <si>
    <t>Requested by Dean of Special Supp., but not supplying</t>
  </si>
  <si>
    <t>Actual is 2550 per month before discount. We receive a 90% E-Rate Reimbursem.</t>
  </si>
  <si>
    <t>Powerschool ($13.7K), Tech Servicing (EdIT) $24k, Technology and Service Fees (CSBM)</t>
  </si>
  <si>
    <t>SchoolMint</t>
  </si>
  <si>
    <t>$250/month for maintenance including updates for events, pictures, etc.</t>
  </si>
  <si>
    <t>MAP ($3715): various assessment kits/licenses; $30K STEP Assessment in Year 1</t>
  </si>
  <si>
    <r>
      <rPr>
        <sz val="11"/>
        <color rgb="FF000000"/>
        <rFont val="Calibri"/>
        <family val="2"/>
        <scheme val="minor"/>
      </rPr>
      <t>Bronx Zoo:</t>
    </r>
    <r>
      <rPr>
        <sz val="11"/>
        <color indexed="8"/>
        <rFont val="Calibri"/>
        <family val="2"/>
        <scheme val="minor"/>
      </rPr>
      <t xml:space="preserve"> $2196 ( $16 per child (120) &amp; $23 per chaperone (276) GREEN MEADOWS FARM: 1300 KING SALIM: XX </t>
    </r>
  </si>
  <si>
    <t>Money for incidentals (pants, skirts, polos)</t>
  </si>
  <si>
    <t>AFTER SCHOOL</t>
  </si>
  <si>
    <t>Day to day mailing, Holiday cards</t>
  </si>
  <si>
    <t>Social emotional professional development, outside conferences</t>
  </si>
  <si>
    <t>$3K for Tier 2 Support, $7K for HOS PD and $10K for BES follow on support</t>
  </si>
  <si>
    <t>Swag, snacks, water, food, etc. Teacher appreciation week.</t>
  </si>
  <si>
    <t>Fingerprinting @ $100/person, $4500 LinkedIn, Recruiting dinners</t>
  </si>
  <si>
    <t>Vanguard mailing ($10K), swag</t>
  </si>
  <si>
    <t xml:space="preserve">Fundraising event </t>
  </si>
  <si>
    <t>misc.</t>
  </si>
  <si>
    <t>10,368 for Workers Comp. Keep separate or consolidate?</t>
  </si>
  <si>
    <t>Bruce Toussiant, KashAri Contracting, MZLocksmith and WatchGuard, Extra Mile, hallway lights</t>
  </si>
  <si>
    <t>Quote - same security guard for building - 55,512 + Late nights for events</t>
  </si>
  <si>
    <t xml:space="preserve">      8116 Pest Control </t>
  </si>
  <si>
    <t xml:space="preserve">Per AJ 6.7.19 </t>
  </si>
  <si>
    <t>$7200/month</t>
  </si>
  <si>
    <t>Non cash expense</t>
  </si>
  <si>
    <t>CAPITAL BUDGET vs. ACTUAL</t>
  </si>
  <si>
    <t>Depreciation</t>
  </si>
  <si>
    <t>Pre-opening</t>
  </si>
  <si>
    <t>Year 1</t>
  </si>
  <si>
    <t xml:space="preserve">       1501 Office Equipment</t>
  </si>
  <si>
    <t>Furniture</t>
  </si>
  <si>
    <t xml:space="preserve">       1502 Office Furniture &amp; Fixtures</t>
  </si>
  <si>
    <t>Computers &amp; Equipment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</si>
  <si>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</si>
  <si>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</si>
  <si>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</si>
  <si>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</si>
  <si>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</si>
  <si>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</si>
  <si>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</si>
  <si>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</si>
  <si>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</si>
  <si>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</si>
  <si>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</si>
  <si>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</si>
  <si>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</si>
  <si>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</si>
  <si>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>Lease</t>
  </si>
  <si>
    <t xml:space="preserve">TOTAL </t>
  </si>
  <si>
    <t>Net Income:</t>
  </si>
  <si>
    <t>Subtract Capital Costs</t>
  </si>
  <si>
    <t>Subtract Rent Deposit</t>
  </si>
  <si>
    <t>Subtract Escrow</t>
  </si>
  <si>
    <t>$20K per year for five years</t>
  </si>
  <si>
    <t>Add back Depreciation</t>
  </si>
  <si>
    <t>Add back Deferred Rent</t>
  </si>
  <si>
    <t>Cash Income</t>
  </si>
  <si>
    <t>Transaction Report</t>
  </si>
  <si>
    <t>Date</t>
  </si>
  <si>
    <t>Num</t>
  </si>
  <si>
    <t>Name</t>
  </si>
  <si>
    <t>Memo/Description</t>
  </si>
  <si>
    <t>Account</t>
  </si>
  <si>
    <t>Debit</t>
  </si>
  <si>
    <t>Credit</t>
  </si>
  <si>
    <t>Balance</t>
  </si>
  <si>
    <t>Office Furniture, Fixtures &amp; Equipment</t>
  </si>
  <si>
    <t xml:space="preserve">   Office Furniture &amp; Fixtures</t>
  </si>
  <si>
    <t xml:space="preserve">   Beginning Balance</t>
  </si>
  <si>
    <t>07/01/2019</t>
  </si>
  <si>
    <t>CAN 4-14/5-2_B</t>
  </si>
  <si>
    <t>Final Payment: Measurement /Canopy/Grates</t>
  </si>
  <si>
    <t>1502 Office Furniture, Fixtures &amp; Equipment:Office Furniture &amp; Fixtures</t>
  </si>
  <si>
    <t>07/23/2019</t>
  </si>
  <si>
    <t>DOO515_B</t>
  </si>
  <si>
    <t>Final payment Credenza shell, pedestal, storage tower, bookcase</t>
  </si>
  <si>
    <t>AMB525-UPDATE 2_B</t>
  </si>
  <si>
    <t>Final payment Credenza shell, pedestal, storage tower, bookcase, conference table</t>
  </si>
  <si>
    <t>09/30/2019</t>
  </si>
  <si>
    <t>To fix the denied bill on bill.com due to some furniture being damaged</t>
  </si>
  <si>
    <t xml:space="preserve">   Total for Office Furniture &amp; Fixtures</t>
  </si>
  <si>
    <t xml:space="preserve">   Accum Depr. Office Furniture &amp; Fixtures</t>
  </si>
  <si>
    <t>10/31/2019</t>
  </si>
  <si>
    <t>DEPR 7-10</t>
  </si>
  <si>
    <t>To record accum depr depreciation for the period July 1, 2019 to October 31, 2019</t>
  </si>
  <si>
    <t>1509 Office Furniture, Fixtures &amp; Equipment:Accum Depr. Office Furniture &amp; Fixtures</t>
  </si>
  <si>
    <t>11/30/2019</t>
  </si>
  <si>
    <t>Nov19Dep</t>
  </si>
  <si>
    <t>To record accum depr depreciation for November, 2019</t>
  </si>
  <si>
    <t xml:space="preserve">   Total for Accum Depr. Office Furniture &amp; Fixtures</t>
  </si>
  <si>
    <t xml:space="preserve">   </t>
  </si>
  <si>
    <t>Total for Office Furniture, Fixtures &amp; Equipment</t>
  </si>
  <si>
    <t>Classroom Equipment, Furniture &amp; Fixtures</t>
  </si>
  <si>
    <t xml:space="preserve">   Classroom Furniture</t>
  </si>
  <si>
    <t>AMB525CLASSROOM_B</t>
  </si>
  <si>
    <t>Final payment: Desks and Chair</t>
  </si>
  <si>
    <t>1521 Classroom Equipment, Furniture &amp; Fixtures:Classroom Furniture</t>
  </si>
  <si>
    <t>08/09/2019</t>
  </si>
  <si>
    <t>Global Industrial</t>
  </si>
  <si>
    <t>Order: 1634795</t>
  </si>
  <si>
    <t xml:space="preserve">   Total for Classroom Furniture</t>
  </si>
  <si>
    <t xml:space="preserve">   Accum Depr. Classroom Equip., Furniture &amp; Fixtures</t>
  </si>
  <si>
    <t>1529 Classroom Equipment, Furniture &amp; Fixtures:Accum Depr. Classroom Equip., Furniture &amp; Fixtures</t>
  </si>
  <si>
    <t xml:space="preserve">   Total for Accum Depr. Classroom Equip., Furniture &amp; Fixtures</t>
  </si>
  <si>
    <t>Total for Classroom Equipment, Furniture &amp; Fixtures</t>
  </si>
  <si>
    <t>Information Technology</t>
  </si>
  <si>
    <t xml:space="preserve">   Student Computers</t>
  </si>
  <si>
    <t>09/01/2019</t>
  </si>
  <si>
    <t>Charter Technology Solutions LLC</t>
  </si>
  <si>
    <t>Charging Carts (50%)</t>
  </si>
  <si>
    <t>1541 Information Technology:Student Computers</t>
  </si>
  <si>
    <t>40 11.6' Chromebooks plus google license (50%)</t>
  </si>
  <si>
    <t xml:space="preserve">   Total for Student Computers</t>
  </si>
  <si>
    <t xml:space="preserve">   Staff Computers</t>
  </si>
  <si>
    <t>07/26/2019</t>
  </si>
  <si>
    <t>Apple Inc.</t>
  </si>
  <si>
    <t>Apple Computers</t>
  </si>
  <si>
    <t>1542 Information Technology:Staff Computers</t>
  </si>
  <si>
    <t xml:space="preserve">   Total for Staff Computers</t>
  </si>
  <si>
    <t xml:space="preserve">   Printers</t>
  </si>
  <si>
    <t>CTSQ2583</t>
  </si>
  <si>
    <t>HP Printers</t>
  </si>
  <si>
    <t>1543 Information Technology:Printers</t>
  </si>
  <si>
    <t xml:space="preserve">   Total for Printers</t>
  </si>
  <si>
    <t xml:space="preserve">   Audio Visuals - Clasrooms</t>
  </si>
  <si>
    <t>Classroom AV</t>
  </si>
  <si>
    <t>1544 Information Technology:Audio Visuals - Clasrooms</t>
  </si>
  <si>
    <t xml:space="preserve">   Total for Audio Visuals - Clasrooms</t>
  </si>
  <si>
    <t xml:space="preserve">   Audio Visual - Cafeteria</t>
  </si>
  <si>
    <t>Cafeteria AV</t>
  </si>
  <si>
    <t>1545 Information Technology:Audio Visual - Cafeteria</t>
  </si>
  <si>
    <t xml:space="preserve">   Total for Audio Visual - Cafeteria</t>
  </si>
  <si>
    <t xml:space="preserve">   Computer Network</t>
  </si>
  <si>
    <t>WiFi access point, Cisco 48 port POE switch, install and configure network systems</t>
  </si>
  <si>
    <t>1548 Information Technology:Computer Network</t>
  </si>
  <si>
    <t>WiFi access points, Transceiver module for Cisco, wall mounted equipment and etc. (50%)</t>
  </si>
  <si>
    <t xml:space="preserve">   Total for Computer Network</t>
  </si>
  <si>
    <t xml:space="preserve">   Security System</t>
  </si>
  <si>
    <t>08/17/2019</t>
  </si>
  <si>
    <t>Vision Sound Installations</t>
  </si>
  <si>
    <t>Installation of security cameras and monitors - initial deposit</t>
  </si>
  <si>
    <t>1549 Information Technology:Security System</t>
  </si>
  <si>
    <t>08/22/2019</t>
  </si>
  <si>
    <t>I190823197</t>
  </si>
  <si>
    <t>Installation of security cameras and monitors - second/final installment</t>
  </si>
  <si>
    <t xml:space="preserve">   Total for Security System</t>
  </si>
  <si>
    <t xml:space="preserve">   Whiteboards</t>
  </si>
  <si>
    <t>North Shore Office Supplies</t>
  </si>
  <si>
    <t>Purchase and installation of white boards and TACK boards</t>
  </si>
  <si>
    <t>1552 Information Technology:Whiteboards</t>
  </si>
  <si>
    <t>WXGA Netowkr Projector (50%)</t>
  </si>
  <si>
    <t xml:space="preserve">   Total for Whiteboards</t>
  </si>
  <si>
    <t xml:space="preserve">   Accum Depr Information Technology</t>
  </si>
  <si>
    <t>1559 Information Technology:Accum Depr Information Technology</t>
  </si>
  <si>
    <t xml:space="preserve">   Total for Accum Depr Information Technology</t>
  </si>
  <si>
    <t>Total for Information Technology</t>
  </si>
  <si>
    <t>TOTAL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</si>
  <si>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</si>
  <si>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</si>
  <si>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</si>
  <si>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</si>
  <si>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</si>
  <si>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</si>
  <si>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</si>
  <si>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Actuals YTD</t>
  </si>
  <si>
    <t>Budget YTD</t>
  </si>
  <si>
    <t>Unaudited Balance Sheet</t>
  </si>
  <si>
    <t>Unaudited Profit &amp; Loss Summary</t>
  </si>
  <si>
    <t>Unaudited Profit &amp; Loss Detailed</t>
  </si>
  <si>
    <t>12/31/2019</t>
  </si>
  <si>
    <t>INV341792IVY2005</t>
  </si>
  <si>
    <t>Worthington Direct</t>
  </si>
  <si>
    <t>Purchase of 8 cafeteria tables</t>
  </si>
  <si>
    <t>Total Projected Expenses (Non-cash items excluded)</t>
  </si>
  <si>
    <t>IVY Hill Preparatory Charter School</t>
  </si>
  <si>
    <t>FY 2019-20 Forecast</t>
  </si>
  <si>
    <r>
      <t xml:space="preserve">YTD
</t>
    </r>
    <r>
      <rPr>
        <b/>
        <u/>
        <sz val="10"/>
        <rFont val="Arial Narrow"/>
        <family val="2"/>
      </rPr>
      <t>7/1/19-12/31/19</t>
    </r>
  </si>
  <si>
    <t>Forecast</t>
  </si>
  <si>
    <t>March</t>
  </si>
  <si>
    <t>April</t>
  </si>
  <si>
    <t>May</t>
  </si>
  <si>
    <t>June</t>
  </si>
  <si>
    <t>Full Name</t>
  </si>
  <si>
    <t>Job Title</t>
  </si>
  <si>
    <t>GL Code</t>
  </si>
  <si>
    <t>Hire Date</t>
  </si>
  <si>
    <t>Termination Date</t>
  </si>
  <si>
    <t>11 Month or 12 Month</t>
  </si>
  <si>
    <t>Annual Salary</t>
  </si>
  <si>
    <r>
      <t xml:space="preserve">Paid from
</t>
    </r>
    <r>
      <rPr>
        <b/>
        <u/>
        <sz val="10"/>
        <color theme="1"/>
        <rFont val="Arial Narrow"/>
        <family val="2"/>
      </rPr>
      <t xml:space="preserve"> 7/1/19-12/31/19</t>
    </r>
  </si>
  <si>
    <t>Jan</t>
  </si>
  <si>
    <t>Feb</t>
  </si>
  <si>
    <t>Mar</t>
  </si>
  <si>
    <t>Apr</t>
  </si>
  <si>
    <t>Jun</t>
  </si>
  <si>
    <r>
      <t xml:space="preserve">Summer </t>
    </r>
    <r>
      <rPr>
        <b/>
        <u/>
        <sz val="10"/>
        <color theme="1"/>
        <rFont val="Arial Narrow"/>
        <family val="2"/>
      </rPr>
      <t>Accrual</t>
    </r>
  </si>
  <si>
    <r>
      <t xml:space="preserve">FY 2020 </t>
    </r>
    <r>
      <rPr>
        <b/>
        <u/>
        <sz val="10"/>
        <color theme="1"/>
        <rFont val="Arial Narrow"/>
        <family val="2"/>
      </rPr>
      <t>Forecast</t>
    </r>
  </si>
  <si>
    <t>Johnson Ambrosia</t>
  </si>
  <si>
    <t>Head of School</t>
  </si>
  <si>
    <t>5101 Head of School</t>
  </si>
  <si>
    <t>Williams Diana</t>
  </si>
  <si>
    <t>Dean of Special Supports</t>
  </si>
  <si>
    <t>5120 Dean of School Supports</t>
  </si>
  <si>
    <t>Parker Brandon</t>
  </si>
  <si>
    <t>Director of Operation</t>
  </si>
  <si>
    <t>5125 Director of Operations</t>
  </si>
  <si>
    <t>To-Nasia Cohen</t>
  </si>
  <si>
    <t>Torres Shanell</t>
  </si>
  <si>
    <t>Office Coordinator</t>
  </si>
  <si>
    <t>5135 Office Coordinator</t>
  </si>
  <si>
    <t>Daughtry, Wanda Denise</t>
  </si>
  <si>
    <t>Bus Matros</t>
  </si>
  <si>
    <t>5160 Bus Matrons</t>
  </si>
  <si>
    <t>Antoinette Kane</t>
  </si>
  <si>
    <t>5205 Lead Teachers</t>
  </si>
  <si>
    <t>Blair Danielle</t>
  </si>
  <si>
    <t>Teacher - Elementary Teacher</t>
  </si>
  <si>
    <t>Grace Jada</t>
  </si>
  <si>
    <t>Doster Ayesha</t>
  </si>
  <si>
    <t>Teacher - Lead Teacher</t>
  </si>
  <si>
    <t>Mac Intosh Kamylle L</t>
  </si>
  <si>
    <t>Gil Vachelle</t>
  </si>
  <si>
    <t>Teacher - Co-Teacher</t>
  </si>
  <si>
    <t>5207 Co-Teachers</t>
  </si>
  <si>
    <t>Holdip Raven</t>
  </si>
  <si>
    <t>Davidson Kelsey</t>
  </si>
  <si>
    <t>Teacher - Founding Teacher</t>
  </si>
  <si>
    <t>Davis Amira</t>
  </si>
  <si>
    <t>Teacher - Dance Instructor</t>
  </si>
  <si>
    <t>5215 Elective Teachers</t>
  </si>
  <si>
    <t>Winborne Yvonne</t>
  </si>
  <si>
    <t>Tessa Gordon</t>
  </si>
  <si>
    <t>Teacher - Martial Arts. Instructor</t>
  </si>
  <si>
    <t>Neilstrong Kimana</t>
  </si>
  <si>
    <t>Teacher - Founding Martial Arts</t>
  </si>
  <si>
    <t>Wilkerson Jenise</t>
  </si>
  <si>
    <t>Teacher - Teaching Fellow</t>
  </si>
  <si>
    <t>5220 Teaching Fellow</t>
  </si>
  <si>
    <t>Nicholas Desarie</t>
  </si>
  <si>
    <t xml:space="preserve">Teacher - Social Worker </t>
  </si>
  <si>
    <t>5225 Social Worker</t>
  </si>
  <si>
    <t>TO BE HIRED</t>
  </si>
  <si>
    <t>ACCOUNT</t>
  </si>
  <si>
    <t>Beginning Cash Balance (Operating Account)</t>
  </si>
  <si>
    <t>Net Cash from Operations</t>
  </si>
  <si>
    <t>Ending Cash Balance (Operating Account)</t>
  </si>
  <si>
    <t>Total Cash (All Accounts)</t>
  </si>
  <si>
    <t xml:space="preserve">         5530 FSA, Transit Check, and HRA</t>
  </si>
  <si>
    <t xml:space="preserve">      Projected Cash Disbursements from Operations</t>
  </si>
  <si>
    <t xml:space="preserve">      Cash Receipts from Accounts &amp; Misc Receivables (not included in revenue below)</t>
  </si>
  <si>
    <t xml:space="preserve">      Projected Cash Receipts from Operations</t>
  </si>
  <si>
    <t xml:space="preserve">      Cash Disbursements for AP </t>
  </si>
  <si>
    <t xml:space="preserve">      Capital Expenditures </t>
  </si>
  <si>
    <t xml:space="preserve">      Escrow</t>
  </si>
  <si>
    <t xml:space="preserve">     Other Cash Accounts (Net of Transfers)</t>
  </si>
  <si>
    <t>As of February 29, 2020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</si>
  <si>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</si>
  <si>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</si>
  <si>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</si>
  <si>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>DoE revenue for March and April 2020 received in February 2020</t>
  </si>
  <si>
    <t>Wednesday, Mar 04, 2020 10:20:47 AM GMT-8 - Accrual Basis</t>
  </si>
  <si>
    <t>This amount includes the following:
- March 2020 rent paid in February 2020
- Five months of general liability insurance premium paid in August 2019</t>
  </si>
  <si>
    <t>CSP and Title Grants receivable at 2.29.20</t>
  </si>
  <si>
    <t>July 2019 - February 2020</t>
  </si>
  <si>
    <t xml:space="preserve">         5520 STD, LTD, Life and AD&amp;D and Others</t>
  </si>
  <si>
    <t>% Achieved/Utilized
(YTD=67%)</t>
  </si>
  <si>
    <t>Chameleon Group</t>
  </si>
  <si>
    <t>50% down payment: Credenza shell, pedestal, storage tower, bookcase - to reallocate to fixed assets</t>
  </si>
  <si>
    <t>To record accum depr depreciation for December, 2019</t>
  </si>
  <si>
    <t>01/31/2020</t>
  </si>
  <si>
    <t>To record depreciation expense for January 2020</t>
  </si>
  <si>
    <t>02/29/2020</t>
  </si>
  <si>
    <t>To record depreciation expense for February 2020</t>
  </si>
  <si>
    <t>To reallocate the initial 50% payment made to Charter Technology Solutions LLC</t>
  </si>
  <si>
    <t>Leasehold Improvements</t>
  </si>
  <si>
    <t xml:space="preserve">   Construction</t>
  </si>
  <si>
    <t>01/02/2020</t>
  </si>
  <si>
    <t>50% deposit for the construction work that needs to be done on the third floor</t>
  </si>
  <si>
    <t>1561 Leasehold Improvements:Construction</t>
  </si>
  <si>
    <t>Phase 1 construction: 2nd and 3rd floor bathroom, stairways, hallway and etc.</t>
  </si>
  <si>
    <t xml:space="preserve">   Total for Construction</t>
  </si>
  <si>
    <t xml:space="preserve">   Accum Dep. Leasehold Improvements</t>
  </si>
  <si>
    <t>1569 Leasehold Improvements:Accum Dep. Leasehold Improvements</t>
  </si>
  <si>
    <t xml:space="preserve">   Total for Accum Dep. Leasehold Improvements</t>
  </si>
  <si>
    <t>Total for Leasehold Improvements</t>
  </si>
  <si>
    <t>Wednesday, Mar 04, 2020 10:29:11 AM GMT-8 - Accrual Basis</t>
  </si>
  <si>
    <t>Amount As of 
February 29, 2020</t>
  </si>
  <si>
    <t>PEO fee (105), based on 21 staff</t>
  </si>
  <si>
    <t>Based on 1 - 20-60 students and 10 - 60+ students</t>
  </si>
  <si>
    <t>Photocopiers, scanners, shredders, microwaves</t>
  </si>
  <si>
    <t>Chairs, desks, tables</t>
  </si>
  <si>
    <t>Non-IT Instructional Equipment</t>
  </si>
  <si>
    <t>Desks, chairs, whiteboards, 4 classrooms @ $20K on third floor and 2 more on 2nd</t>
  </si>
  <si>
    <t>Tablets, Laptops; 20 chromebooks @ $160 (2 classrooms)</t>
  </si>
  <si>
    <t>Tablets, Laptops, Desktops, laptop carts, computers for 4 new staff at $1.333 per teacher</t>
  </si>
  <si>
    <t>Networked printers, standalone printers for general use</t>
  </si>
  <si>
    <t>Whiteboards, projectors, screens, and doc cams 8 classrooms at $3K per classroom</t>
  </si>
  <si>
    <t>Installation of a school-wide Public Announcement System</t>
  </si>
  <si>
    <t>Major software purchases for Instructional purposes</t>
  </si>
  <si>
    <t>Major software purchases for office use</t>
  </si>
  <si>
    <t>Network infrastructure contruction and major improvements (wiring, servers, wireless points)</t>
  </si>
  <si>
    <t>Security Cameras</t>
  </si>
  <si>
    <t>School Mint, Power School</t>
  </si>
  <si>
    <t>2 classrooms at $2K each</t>
  </si>
  <si>
    <t>New construction - 3rd floor buildout with lighting</t>
  </si>
  <si>
    <t>Major repairs (scope and cost); bathroom and windows repairs</t>
  </si>
  <si>
    <t>Thursday, Mar 05, 2020 09:50:13 AM GMT-8 - Accrual Basis</t>
  </si>
  <si>
    <t>March 1, 2020 - June 30, 2020</t>
  </si>
  <si>
    <t>standard of 0.9 or less is low risk</t>
  </si>
  <si>
    <t>Paid already</t>
  </si>
  <si>
    <t>Not cash impact</t>
  </si>
  <si>
    <t>Change</t>
  </si>
  <si>
    <t>Note</t>
  </si>
  <si>
    <t>changed to 4,125</t>
  </si>
  <si>
    <t>Only 1 bus matron on payroll</t>
  </si>
  <si>
    <t>chnaged to current salary</t>
  </si>
  <si>
    <t>amended to reflect amount based on time left in FY</t>
  </si>
  <si>
    <t>changed to NO Spend</t>
  </si>
  <si>
    <t>About 8K remaining to spend</t>
  </si>
  <si>
    <t>1K remaining to spend</t>
  </si>
  <si>
    <t>About 3K remaining to spend</t>
  </si>
  <si>
    <t xml:space="preserve">What is this? </t>
  </si>
  <si>
    <t>How is this being calculated? Where is the monthly breakdown?</t>
  </si>
  <si>
    <t>savings of 2.5 months</t>
  </si>
  <si>
    <t>Just hired a TF this is 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</si>
</sst>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  <numFmt numFmtId="173" formatCode="_(* #,##0.0_);_(* \(#,##0.0\);_(* &quot;-&quot;??_);_(@_)"/>
  </numFmts>
  <fonts count="8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indexed="8"/>
      <name val="Arial"/>
      <family val="2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sz val="15"/>
      <name val="Arial Narrow"/>
      <family val="2"/>
    </font>
    <font>
      <b/>
      <u/>
      <sz val="10"/>
      <name val="Arial Narrow"/>
      <family val="2"/>
    </font>
    <font>
      <sz val="15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1"/>
      <color rgb="FFC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9">
    <xf numFmtId="0" fontId="0" fillId="0" borderId="0" xfId="0"/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 applyProtection="1">
      <alignment horizontal="centerContinuous"/>
    </xf>
    <xf numFmtId="43" fontId="6" fillId="0" borderId="0" xfId="1" applyFont="1" applyFill="1" applyBorder="1" applyAlignment="1" applyProtection="1">
      <alignment horizontal="centerContinuous" vertical="top"/>
    </xf>
    <xf numFmtId="43" fontId="8" fillId="0" borderId="0" xfId="1" applyFont="1" applyFill="1" applyBorder="1" applyAlignment="1" applyProtection="1">
      <alignment horizontal="centerContinuous" vertical="top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1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1" fontId="13" fillId="0" borderId="0" xfId="5" applyNumberFormat="1" applyFont="1" applyFill="1" applyBorder="1" applyAlignment="1" applyProtection="1">
      <alignment horizontal="left" wrapText="1"/>
    </xf>
    <xf numFmtId="43" fontId="13" fillId="0" borderId="0" xfId="5" applyNumberFormat="1" applyFont="1" applyFill="1" applyBorder="1" applyAlignment="1" applyProtection="1">
      <alignment horizontal="left" wrapText="1"/>
    </xf>
    <xf numFmtId="49" fontId="10" fillId="0" borderId="18" xfId="0" applyNumberFormat="1" applyFont="1" applyFill="1" applyBorder="1" applyAlignment="1" applyProtection="1">
      <alignment horizontal="center" vertical="top"/>
    </xf>
    <xf numFmtId="41" fontId="13" fillId="0" borderId="18" xfId="5" applyNumberFormat="1" applyFont="1" applyFill="1" applyBorder="1" applyAlignment="1" applyProtection="1">
      <alignment horizontal="left" wrapText="1"/>
    </xf>
    <xf numFmtId="43" fontId="15" fillId="0" borderId="18" xfId="4" applyNumberFormat="1" applyFont="1" applyBorder="1" applyAlignment="1">
      <alignment horizontal="right" wrapText="1"/>
    </xf>
    <xf numFmtId="43" fontId="10" fillId="0" borderId="18" xfId="0" applyNumberFormat="1" applyFont="1" applyFill="1" applyBorder="1" applyAlignment="1" applyProtection="1">
      <alignment horizontal="center" vertical="top"/>
    </xf>
    <xf numFmtId="43" fontId="15" fillId="0" borderId="18" xfId="4" applyNumberFormat="1" applyFont="1" applyFill="1" applyBorder="1" applyAlignment="1">
      <alignment horizontal="right" wrapText="1"/>
    </xf>
    <xf numFmtId="43" fontId="15" fillId="2" borderId="18" xfId="4" applyNumberFormat="1" applyFont="1" applyFill="1" applyBorder="1" applyAlignment="1">
      <alignment horizontal="right" wrapText="1"/>
    </xf>
    <xf numFmtId="43" fontId="15" fillId="0" borderId="18" xfId="4" applyNumberFormat="1" applyFont="1" applyFill="1" applyBorder="1" applyAlignment="1">
      <alignment wrapText="1"/>
    </xf>
    <xf numFmtId="164" fontId="15" fillId="0" borderId="0" xfId="4" applyNumberFormat="1" applyFont="1" applyFill="1" applyBorder="1" applyAlignment="1">
      <alignment wrapText="1"/>
    </xf>
    <xf numFmtId="43" fontId="12" fillId="0" borderId="18" xfId="4" applyNumberFormat="1" applyFont="1" applyFill="1" applyBorder="1" applyAlignment="1">
      <alignment horizontal="right" wrapText="1"/>
    </xf>
    <xf numFmtId="38" fontId="13" fillId="0" borderId="0" xfId="1" applyNumberFormat="1" applyFont="1" applyFill="1" applyAlignment="1" applyProtection="1">
      <alignment vertical="top"/>
    </xf>
    <xf numFmtId="0" fontId="10" fillId="0" borderId="18" xfId="0" applyFont="1" applyFill="1" applyBorder="1" applyAlignment="1" applyProtection="1">
      <alignment horizontal="left" vertical="top" wrapText="1"/>
    </xf>
    <xf numFmtId="43" fontId="18" fillId="0" borderId="18" xfId="5" applyNumberFormat="1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41" fontId="10" fillId="0" borderId="0" xfId="5" applyNumberFormat="1" applyFont="1" applyFill="1" applyBorder="1" applyAlignment="1">
      <alignment horizontal="right" vertical="top" wrapText="1"/>
    </xf>
    <xf numFmtId="0" fontId="12" fillId="0" borderId="18" xfId="4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Border="1" applyAlignment="1" applyProtection="1">
      <alignment vertical="top"/>
    </xf>
    <xf numFmtId="0" fontId="17" fillId="0" borderId="18" xfId="3" applyFont="1" applyFill="1" applyBorder="1" applyAlignment="1" applyProtection="1">
      <alignment vertical="top"/>
    </xf>
    <xf numFmtId="43" fontId="12" fillId="0" borderId="18" xfId="1" applyNumberFormat="1" applyFont="1" applyFill="1" applyBorder="1" applyAlignment="1">
      <alignment horizontal="right" wrapText="1"/>
    </xf>
    <xf numFmtId="43" fontId="10" fillId="0" borderId="18" xfId="3" applyNumberFormat="1" applyFont="1" applyFill="1" applyBorder="1" applyAlignment="1" applyProtection="1">
      <alignment horizontal="right" vertical="top" wrapText="1"/>
    </xf>
    <xf numFmtId="0" fontId="6" fillId="0" borderId="18" xfId="5" applyFont="1" applyFill="1" applyBorder="1" applyAlignment="1">
      <alignment horizontal="left" vertical="top" wrapText="1"/>
    </xf>
    <xf numFmtId="41" fontId="18" fillId="0" borderId="18" xfId="5" applyNumberFormat="1" applyFont="1" applyFill="1" applyBorder="1" applyAlignment="1" applyProtection="1">
      <alignment horizontal="left" vertical="top" wrapText="1"/>
    </xf>
    <xf numFmtId="43" fontId="6" fillId="0" borderId="1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22" fillId="5" borderId="0" xfId="0" applyFont="1" applyFill="1"/>
    <xf numFmtId="0" fontId="23" fillId="5" borderId="7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wrapText="1"/>
    </xf>
    <xf numFmtId="0" fontId="24" fillId="5" borderId="5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10" xfId="0" applyFont="1" applyFill="1" applyBorder="1"/>
    <xf numFmtId="0" fontId="22" fillId="5" borderId="21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0" fillId="0" borderId="0" xfId="0"/>
    <xf numFmtId="0" fontId="9" fillId="7" borderId="14" xfId="0" applyFont="1" applyFill="1" applyBorder="1" applyAlignment="1">
      <alignment horizontal="center"/>
    </xf>
    <xf numFmtId="38" fontId="11" fillId="7" borderId="12" xfId="3" applyNumberFormat="1" applyFont="1" applyFill="1" applyBorder="1" applyAlignment="1">
      <alignment horizontal="center"/>
    </xf>
    <xf numFmtId="38" fontId="11" fillId="7" borderId="15" xfId="3" applyNumberFormat="1" applyFont="1" applyFill="1" applyBorder="1" applyAlignment="1">
      <alignment horizontal="center" wrapText="1"/>
    </xf>
    <xf numFmtId="38" fontId="11" fillId="7" borderId="16" xfId="0" applyNumberFormat="1" applyFont="1" applyFill="1" applyBorder="1" applyAlignment="1" applyProtection="1">
      <alignment horizontal="center" wrapText="1"/>
    </xf>
    <xf numFmtId="38" fontId="11" fillId="7" borderId="17" xfId="0" applyNumberFormat="1" applyFont="1" applyFill="1" applyBorder="1" applyAlignment="1" applyProtection="1">
      <alignment horizontal="center" wrapText="1"/>
    </xf>
    <xf numFmtId="43" fontId="10" fillId="6" borderId="18" xfId="0" applyNumberFormat="1" applyFont="1" applyFill="1" applyBorder="1" applyAlignment="1" applyProtection="1">
      <alignment horizontal="center" vertical="top"/>
    </xf>
    <xf numFmtId="43" fontId="12" fillId="6" borderId="18" xfId="4" applyNumberFormat="1" applyFont="1" applyFill="1" applyBorder="1" applyAlignment="1">
      <alignment horizontal="right" wrapText="1"/>
    </xf>
    <xf numFmtId="43" fontId="11" fillId="0" borderId="0" xfId="1" applyFont="1" applyFill="1" applyBorder="1" applyAlignment="1" applyProtection="1">
      <alignment horizontal="centerContinuous" vertical="top"/>
    </xf>
    <xf numFmtId="43" fontId="12" fillId="6" borderId="18" xfId="4" applyNumberFormat="1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43" fontId="20" fillId="4" borderId="22" xfId="1" applyFont="1" applyFill="1" applyBorder="1" applyAlignment="1">
      <alignment vertical="center"/>
    </xf>
    <xf numFmtId="0" fontId="16" fillId="5" borderId="0" xfId="0" applyNumberFormat="1" applyFont="1" applyFill="1" applyBorder="1" applyAlignment="1">
      <alignment vertical="center"/>
    </xf>
    <xf numFmtId="167" fontId="20" fillId="4" borderId="22" xfId="1" applyNumberFormat="1" applyFont="1" applyFill="1" applyBorder="1" applyAlignment="1">
      <alignment vertical="center"/>
    </xf>
    <xf numFmtId="167" fontId="22" fillId="5" borderId="0" xfId="1" applyNumberFormat="1" applyFont="1" applyFill="1" applyBorder="1" applyAlignment="1"/>
    <xf numFmtId="9" fontId="20" fillId="4" borderId="22" xfId="6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2" fillId="5" borderId="4" xfId="0" applyFont="1" applyFill="1" applyBorder="1" applyAlignment="1">
      <alignment horizontal="left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left" vertical="center"/>
    </xf>
    <xf numFmtId="0" fontId="22" fillId="5" borderId="21" xfId="0" applyFont="1" applyFill="1" applyBorder="1"/>
    <xf numFmtId="9" fontId="0" fillId="0" borderId="0" xfId="6" applyFont="1" applyFill="1"/>
    <xf numFmtId="43" fontId="12" fillId="2" borderId="18" xfId="4" applyNumberFormat="1" applyFont="1" applyFill="1" applyBorder="1" applyAlignment="1">
      <alignment horizontal="right" wrapText="1"/>
    </xf>
    <xf numFmtId="43" fontId="12" fillId="0" borderId="18" xfId="4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0" fillId="2" borderId="18" xfId="0" applyNumberFormat="1" applyFont="1" applyFill="1" applyBorder="1" applyAlignment="1" applyProtection="1">
      <alignment horizontal="center" vertical="top"/>
    </xf>
    <xf numFmtId="166" fontId="11" fillId="7" borderId="13" xfId="3" applyNumberFormat="1" applyFont="1" applyFill="1" applyBorder="1" applyAlignment="1">
      <alignment horizontal="center" wrapText="1"/>
    </xf>
    <xf numFmtId="0" fontId="13" fillId="6" borderId="0" xfId="0" applyFont="1" applyFill="1" applyBorder="1" applyAlignment="1" applyProtection="1">
      <alignment vertical="top"/>
    </xf>
    <xf numFmtId="0" fontId="0" fillId="0" borderId="0" xfId="0"/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6" borderId="24" xfId="0" applyNumberFormat="1" applyFont="1" applyFill="1" applyBorder="1" applyAlignment="1" applyProtection="1">
      <alignment horizontal="center" vertical="top"/>
    </xf>
    <xf numFmtId="49" fontId="10" fillId="2" borderId="24" xfId="0" applyNumberFormat="1" applyFont="1" applyFill="1" applyBorder="1" applyAlignment="1" applyProtection="1">
      <alignment horizontal="center" vertical="top"/>
    </xf>
    <xf numFmtId="43" fontId="15" fillId="2" borderId="24" xfId="4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left" wrapText="1"/>
    </xf>
    <xf numFmtId="0" fontId="27" fillId="6" borderId="18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41" fontId="14" fillId="0" borderId="26" xfId="5" applyNumberFormat="1" applyFont="1" applyFill="1" applyBorder="1" applyAlignment="1" applyProtection="1">
      <alignment horizontal="left" wrapText="1"/>
      <protection locked="0"/>
    </xf>
    <xf numFmtId="38" fontId="20" fillId="7" borderId="23" xfId="0" applyNumberFormat="1" applyFont="1" applyFill="1" applyBorder="1" applyAlignment="1" applyProtection="1">
      <alignment horizontal="center"/>
    </xf>
    <xf numFmtId="14" fontId="26" fillId="0" borderId="0" xfId="1" applyNumberFormat="1" applyFont="1" applyFill="1" applyBorder="1" applyAlignment="1" applyProtection="1">
      <alignment vertical="top"/>
    </xf>
    <xf numFmtId="41" fontId="13" fillId="0" borderId="25" xfId="5" applyNumberFormat="1" applyFont="1" applyFill="1" applyBorder="1" applyAlignment="1" applyProtection="1">
      <alignment horizontal="left" wrapText="1"/>
    </xf>
    <xf numFmtId="43" fontId="15" fillId="0" borderId="25" xfId="4" applyNumberFormat="1" applyFont="1" applyFill="1" applyBorder="1" applyAlignment="1">
      <alignment horizontal="right" wrapText="1"/>
    </xf>
    <xf numFmtId="43" fontId="12" fillId="6" borderId="25" xfId="4" applyNumberFormat="1" applyFont="1" applyFill="1" applyBorder="1" applyAlignment="1">
      <alignment horizontal="right" wrapText="1"/>
    </xf>
    <xf numFmtId="43" fontId="12" fillId="0" borderId="25" xfId="4" applyNumberFormat="1" applyFont="1" applyFill="1" applyBorder="1" applyAlignment="1">
      <alignment horizontal="right" wrapText="1"/>
    </xf>
    <xf numFmtId="43" fontId="12" fillId="2" borderId="25" xfId="4" applyNumberFormat="1" applyFont="1" applyFill="1" applyBorder="1" applyAlignment="1">
      <alignment horizontal="right" wrapText="1"/>
    </xf>
    <xf numFmtId="43" fontId="15" fillId="0" borderId="25" xfId="4" applyNumberFormat="1" applyFont="1" applyBorder="1" applyAlignment="1">
      <alignment wrapText="1"/>
    </xf>
    <xf numFmtId="43" fontId="15" fillId="0" borderId="25" xfId="4" applyNumberFormat="1" applyFont="1" applyFill="1" applyBorder="1" applyAlignment="1">
      <alignment wrapText="1"/>
    </xf>
    <xf numFmtId="167" fontId="12" fillId="0" borderId="25" xfId="1" applyNumberFormat="1" applyFont="1" applyFill="1" applyBorder="1" applyAlignment="1">
      <alignment horizontal="right" wrapText="1"/>
    </xf>
    <xf numFmtId="43" fontId="10" fillId="0" borderId="25" xfId="3" applyNumberFormat="1" applyFont="1" applyFill="1" applyBorder="1" applyAlignment="1" applyProtection="1">
      <alignment horizontal="right" vertical="top" wrapText="1"/>
    </xf>
    <xf numFmtId="43" fontId="18" fillId="0" borderId="25" xfId="5" applyNumberFormat="1" applyFont="1" applyFill="1" applyBorder="1" applyAlignment="1" applyProtection="1">
      <alignment horizontal="left" vertical="top" wrapText="1"/>
    </xf>
    <xf numFmtId="41" fontId="14" fillId="6" borderId="26" xfId="5" applyNumberFormat="1" applyFont="1" applyFill="1" applyBorder="1" applyAlignment="1" applyProtection="1">
      <alignment horizontal="left" wrapText="1"/>
      <protection locked="0"/>
    </xf>
    <xf numFmtId="41" fontId="14" fillId="2" borderId="26" xfId="5" applyNumberFormat="1" applyFont="1" applyFill="1" applyBorder="1" applyAlignment="1" applyProtection="1">
      <alignment horizontal="left" wrapText="1"/>
      <protection locked="0"/>
    </xf>
    <xf numFmtId="43" fontId="18" fillId="0" borderId="24" xfId="5" applyNumberFormat="1" applyFont="1" applyFill="1" applyBorder="1" applyAlignment="1" applyProtection="1">
      <alignment horizontal="left" vertical="top" wrapText="1"/>
    </xf>
    <xf numFmtId="43" fontId="26" fillId="0" borderId="0" xfId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left" wrapText="1"/>
    </xf>
    <xf numFmtId="43" fontId="18" fillId="0" borderId="0" xfId="5" applyNumberFormat="1" applyFont="1" applyFill="1" applyBorder="1" applyAlignment="1" applyProtection="1">
      <alignment horizontal="left" vertical="top" wrapText="1"/>
    </xf>
    <xf numFmtId="38" fontId="13" fillId="0" borderId="0" xfId="1" applyNumberFormat="1" applyFont="1" applyFill="1" applyBorder="1" applyAlignment="1" applyProtection="1">
      <alignment vertical="top"/>
    </xf>
    <xf numFmtId="43" fontId="26" fillId="8" borderId="4" xfId="1" applyFont="1" applyFill="1" applyBorder="1" applyAlignment="1" applyProtection="1">
      <alignment vertical="top"/>
    </xf>
    <xf numFmtId="14" fontId="26" fillId="8" borderId="5" xfId="1" applyNumberFormat="1" applyFont="1" applyFill="1" applyBorder="1" applyAlignment="1" applyProtection="1">
      <alignment vertical="top"/>
    </xf>
    <xf numFmtId="14" fontId="26" fillId="8" borderId="21" xfId="1" applyNumberFormat="1" applyFont="1" applyFill="1" applyBorder="1" applyAlignment="1" applyProtection="1">
      <alignment vertical="top"/>
    </xf>
    <xf numFmtId="0" fontId="22" fillId="5" borderId="7" xfId="0" applyFont="1" applyFill="1" applyBorder="1"/>
    <xf numFmtId="0" fontId="2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2"/>
    </xf>
    <xf numFmtId="0" fontId="20" fillId="4" borderId="22" xfId="0" applyFont="1" applyFill="1" applyBorder="1" applyAlignment="1">
      <alignment horizontal="left" vertical="center" indent="2"/>
    </xf>
    <xf numFmtId="0" fontId="22" fillId="5" borderId="0" xfId="0" applyFont="1" applyFill="1" applyBorder="1" applyAlignment="1"/>
    <xf numFmtId="0" fontId="22" fillId="0" borderId="10" xfId="0" applyFont="1" applyBorder="1"/>
    <xf numFmtId="0" fontId="22" fillId="5" borderId="5" xfId="0" applyFont="1" applyFill="1" applyBorder="1"/>
    <xf numFmtId="0" fontId="0" fillId="0" borderId="0" xfId="0"/>
    <xf numFmtId="166" fontId="21" fillId="5" borderId="9" xfId="0" applyNumberFormat="1" applyFont="1" applyFill="1" applyBorder="1" applyAlignment="1">
      <alignment vertical="center"/>
    </xf>
    <xf numFmtId="0" fontId="19" fillId="5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0" fillId="0" borderId="0" xfId="0"/>
    <xf numFmtId="43" fontId="12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4" fontId="0" fillId="0" borderId="0" xfId="2" applyFont="1"/>
    <xf numFmtId="44" fontId="25" fillId="0" borderId="0" xfId="0" applyNumberFormat="1" applyFont="1"/>
    <xf numFmtId="44" fontId="0" fillId="0" borderId="28" xfId="2" applyFont="1" applyBorder="1"/>
    <xf numFmtId="0" fontId="0" fillId="0" borderId="28" xfId="0" applyBorder="1"/>
    <xf numFmtId="0" fontId="25" fillId="0" borderId="0" xfId="0" applyFont="1" applyAlignment="1">
      <alignment horizontal="center"/>
    </xf>
    <xf numFmtId="44" fontId="0" fillId="0" borderId="0" xfId="2" applyFont="1" applyFill="1"/>
    <xf numFmtId="0" fontId="3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quotePrefix="1" applyFont="1"/>
    <xf numFmtId="0" fontId="35" fillId="0" borderId="6" xfId="0" applyFont="1" applyBorder="1"/>
    <xf numFmtId="43" fontId="35" fillId="0" borderId="7" xfId="1" applyFont="1" applyBorder="1"/>
    <xf numFmtId="9" fontId="35" fillId="0" borderId="8" xfId="6" applyFont="1" applyBorder="1"/>
    <xf numFmtId="0" fontId="35" fillId="0" borderId="2" xfId="0" applyFont="1" applyBorder="1"/>
    <xf numFmtId="43" fontId="35" fillId="0" borderId="0" xfId="1" applyFont="1" applyBorder="1"/>
    <xf numFmtId="9" fontId="35" fillId="0" borderId="3" xfId="6" applyFont="1" applyBorder="1"/>
    <xf numFmtId="43" fontId="35" fillId="0" borderId="19" xfId="1" applyFont="1" applyBorder="1"/>
    <xf numFmtId="0" fontId="35" fillId="0" borderId="9" xfId="0" applyFont="1" applyBorder="1"/>
    <xf numFmtId="43" fontId="37" fillId="0" borderId="10" xfId="1" applyFont="1" applyBorder="1"/>
    <xf numFmtId="0" fontId="35" fillId="0" borderId="11" xfId="0" applyFont="1" applyBorder="1"/>
    <xf numFmtId="43" fontId="35" fillId="0" borderId="10" xfId="1" applyFont="1" applyBorder="1"/>
    <xf numFmtId="0" fontId="25" fillId="0" borderId="29" xfId="0" applyFont="1" applyBorder="1" applyAlignment="1">
      <alignment horizontal="left" wrapText="1"/>
    </xf>
    <xf numFmtId="0" fontId="25" fillId="0" borderId="29" xfId="0" applyFont="1" applyBorder="1" applyAlignment="1">
      <alignment horizontal="center" wrapText="1"/>
    </xf>
    <xf numFmtId="164" fontId="0" fillId="0" borderId="29" xfId="0" applyNumberFormat="1" applyBorder="1" applyAlignment="1">
      <alignment horizontal="right" wrapText="1"/>
    </xf>
    <xf numFmtId="40" fontId="0" fillId="0" borderId="29" xfId="0" applyNumberFormat="1" applyBorder="1" applyAlignment="1">
      <alignment horizontal="right" wrapText="1"/>
    </xf>
    <xf numFmtId="0" fontId="25" fillId="2" borderId="29" xfId="0" applyFont="1" applyFill="1" applyBorder="1" applyAlignment="1">
      <alignment horizontal="left" wrapText="1"/>
    </xf>
    <xf numFmtId="165" fontId="25" fillId="2" borderId="29" xfId="0" applyNumberFormat="1" applyFont="1" applyFill="1" applyBorder="1" applyAlignment="1">
      <alignment horizontal="right" wrapText="1"/>
    </xf>
    <xf numFmtId="40" fontId="25" fillId="2" borderId="29" xfId="0" applyNumberFormat="1" applyFont="1" applyFill="1" applyBorder="1" applyAlignment="1">
      <alignment horizontal="right" wrapText="1"/>
    </xf>
    <xf numFmtId="0" fontId="38" fillId="9" borderId="0" xfId="0" applyFont="1" applyFill="1"/>
    <xf numFmtId="0" fontId="0" fillId="9" borderId="0" xfId="0" applyFill="1"/>
    <xf numFmtId="43" fontId="0" fillId="0" borderId="0" xfId="0" applyNumberFormat="1"/>
    <xf numFmtId="0" fontId="2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4" fillId="0" borderId="0" xfId="0" applyFont="1"/>
    <xf numFmtId="0" fontId="0" fillId="0" borderId="32" xfId="0" applyBorder="1"/>
    <xf numFmtId="0" fontId="44" fillId="0" borderId="33" xfId="0" applyFont="1" applyBorder="1"/>
    <xf numFmtId="0" fontId="45" fillId="0" borderId="32" xfId="0" applyFont="1" applyBorder="1" applyAlignment="1" applyProtection="1">
      <alignment vertical="center" wrapText="1"/>
      <protection locked="0"/>
    </xf>
    <xf numFmtId="0" fontId="25" fillId="11" borderId="35" xfId="0" applyFont="1" applyFill="1" applyBorder="1"/>
    <xf numFmtId="0" fontId="25" fillId="11" borderId="14" xfId="0" applyFont="1" applyFill="1" applyBorder="1"/>
    <xf numFmtId="41" fontId="45" fillId="12" borderId="36" xfId="0" applyNumberFormat="1" applyFont="1" applyFill="1" applyBorder="1" applyAlignment="1" applyProtection="1">
      <alignment horizontal="center" vertical="center"/>
      <protection locked="0"/>
    </xf>
    <xf numFmtId="41" fontId="39" fillId="10" borderId="29" xfId="0" applyNumberFormat="1" applyFont="1" applyFill="1" applyBorder="1" applyAlignment="1" applyProtection="1">
      <alignment horizontal="center" vertical="center"/>
      <protection locked="0"/>
    </xf>
    <xf numFmtId="41" fontId="39" fillId="10" borderId="0" xfId="0" applyNumberFormat="1" applyFont="1" applyFill="1" applyAlignment="1" applyProtection="1">
      <alignment horizontal="center" vertical="center"/>
      <protection locked="0"/>
    </xf>
    <xf numFmtId="0" fontId="39" fillId="10" borderId="19" xfId="0" applyFont="1" applyFill="1" applyBorder="1" applyAlignment="1">
      <alignment horizontal="center" vertical="center" wrapText="1"/>
    </xf>
    <xf numFmtId="41" fontId="39" fillId="10" borderId="37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6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2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7" xfId="0" applyNumberFormat="1" applyFont="1" applyFill="1" applyBorder="1" applyAlignment="1" applyProtection="1">
      <alignment horizontal="center" vertical="center" wrapText="1"/>
      <protection locked="0"/>
    </xf>
    <xf numFmtId="4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0" xfId="0" applyNumberFormat="1" applyFont="1" applyFill="1" applyAlignment="1" applyProtection="1">
      <alignment horizontal="center" vertical="center" wrapText="1"/>
      <protection locked="0"/>
    </xf>
    <xf numFmtId="0" fontId="40" fillId="10" borderId="0" xfId="0" applyFont="1" applyFill="1" applyAlignment="1">
      <alignment vertical="center" wrapText="1"/>
    </xf>
    <xf numFmtId="41" fontId="45" fillId="0" borderId="32" xfId="0" applyNumberFormat="1" applyFont="1" applyBorder="1" applyAlignment="1" applyProtection="1">
      <alignment horizontal="right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9" xfId="0" applyFont="1" applyFill="1" applyBorder="1" applyAlignment="1" applyProtection="1">
      <alignment horizontal="center" vertical="center" wrapText="1"/>
      <protection locked="0"/>
    </xf>
    <xf numFmtId="1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0" xfId="0" applyNumberFormat="1" applyFont="1" applyFill="1" applyAlignment="1" applyProtection="1">
      <alignment horizontal="center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right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32" xfId="0" applyFont="1" applyBorder="1" applyAlignment="1" applyProtection="1">
      <alignment horizontal="right" vertical="center" wrapText="1"/>
      <protection locked="0"/>
    </xf>
    <xf numFmtId="0" fontId="39" fillId="10" borderId="36" xfId="0" applyFont="1" applyFill="1" applyBorder="1" applyAlignment="1" applyProtection="1">
      <alignment horizontal="right" vertical="center" wrapText="1"/>
      <protection locked="0"/>
    </xf>
    <xf numFmtId="0" fontId="39" fillId="10" borderId="29" xfId="0" applyFont="1" applyFill="1" applyBorder="1" applyAlignment="1" applyProtection="1">
      <alignment horizontal="right" vertical="center" wrapText="1"/>
      <protection locked="0"/>
    </xf>
    <xf numFmtId="16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0" fontId="45" fillId="12" borderId="29" xfId="0" applyFont="1" applyFill="1" applyBorder="1" applyAlignment="1" applyProtection="1">
      <alignment horizontal="center" vertical="center" wrapText="1"/>
      <protection locked="0"/>
    </xf>
    <xf numFmtId="0" fontId="39" fillId="10" borderId="29" xfId="0" applyFont="1" applyFill="1" applyBorder="1" applyAlignment="1" applyProtection="1">
      <alignment horizontal="center" vertical="center" wrapText="1"/>
      <protection locked="0"/>
    </xf>
    <xf numFmtId="0" fontId="39" fillId="10" borderId="0" xfId="0" applyFont="1" applyFill="1" applyAlignment="1" applyProtection="1">
      <alignment horizontal="center" vertical="center" wrapText="1"/>
      <protection locked="0"/>
    </xf>
    <xf numFmtId="1" fontId="45" fillId="3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9" xfId="0" applyFont="1" applyFill="1" applyBorder="1" applyAlignment="1" applyProtection="1">
      <alignment horizontal="center" vertical="center" wrapText="1"/>
      <protection locked="0"/>
    </xf>
    <xf numFmtId="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9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0" xfId="0" applyNumberFormat="1" applyFont="1" applyFill="1" applyAlignment="1" applyProtection="1">
      <alignment horizontal="center" vertical="center" wrapText="1"/>
      <protection locked="0"/>
    </xf>
    <xf numFmtId="167" fontId="45" fillId="11" borderId="29" xfId="1" applyNumberFormat="1" applyFont="1" applyFill="1" applyBorder="1" applyAlignment="1" applyProtection="1">
      <alignment vertical="center" wrapText="1"/>
      <protection locked="0"/>
    </xf>
    <xf numFmtId="167" fontId="45" fillId="2" borderId="29" xfId="1" applyNumberFormat="1" applyFont="1" applyFill="1" applyBorder="1" applyAlignment="1" applyProtection="1">
      <alignment vertical="center" wrapText="1"/>
      <protection locked="0"/>
    </xf>
    <xf numFmtId="167" fontId="45" fillId="11" borderId="36" xfId="1" applyNumberFormat="1" applyFont="1" applyFill="1" applyBorder="1" applyAlignment="1" applyProtection="1">
      <alignment vertical="center" wrapText="1"/>
      <protection locked="0"/>
    </xf>
    <xf numFmtId="43" fontId="45" fillId="12" borderId="29" xfId="1" applyFont="1" applyFill="1" applyBorder="1" applyAlignment="1" applyProtection="1">
      <alignment vertical="center" wrapText="1"/>
      <protection locked="0"/>
    </xf>
    <xf numFmtId="43" fontId="39" fillId="10" borderId="29" xfId="1" applyFont="1" applyFill="1" applyBorder="1" applyAlignment="1" applyProtection="1">
      <alignment vertical="center" wrapText="1"/>
      <protection locked="0"/>
    </xf>
    <xf numFmtId="43" fontId="39" fillId="10" borderId="0" xfId="1" applyFont="1" applyFill="1" applyBorder="1" applyAlignment="1" applyProtection="1">
      <alignment vertical="center" wrapText="1"/>
      <protection locked="0"/>
    </xf>
    <xf numFmtId="0" fontId="39" fillId="13" borderId="38" xfId="0" applyFont="1" applyFill="1" applyBorder="1" applyAlignment="1" applyProtection="1">
      <alignment horizontal="center" vertical="center" wrapText="1"/>
      <protection locked="0"/>
    </xf>
    <xf numFmtId="41" fontId="39" fillId="13" borderId="29" xfId="0" applyNumberFormat="1" applyFont="1" applyFill="1" applyBorder="1"/>
    <xf numFmtId="41" fontId="45" fillId="13" borderId="29" xfId="0" applyNumberFormat="1" applyFont="1" applyFill="1" applyBorder="1"/>
    <xf numFmtId="167" fontId="45" fillId="13" borderId="29" xfId="0" applyNumberFormat="1" applyFont="1" applyFill="1" applyBorder="1"/>
    <xf numFmtId="9" fontId="45" fillId="13" borderId="29" xfId="6" applyFont="1" applyFill="1" applyBorder="1" applyProtection="1"/>
    <xf numFmtId="167" fontId="45" fillId="13" borderId="36" xfId="0" applyNumberFormat="1" applyFont="1" applyFill="1" applyBorder="1"/>
    <xf numFmtId="41" fontId="45" fillId="12" borderId="29" xfId="0" applyNumberFormat="1" applyFont="1" applyFill="1" applyBorder="1"/>
    <xf numFmtId="41" fontId="39" fillId="13" borderId="0" xfId="0" applyNumberFormat="1" applyFont="1" applyFill="1"/>
    <xf numFmtId="0" fontId="2" fillId="13" borderId="0" xfId="0" applyFont="1" applyFill="1" applyAlignment="1">
      <alignment vertical="center" wrapText="1"/>
    </xf>
    <xf numFmtId="0" fontId="39" fillId="13" borderId="39" xfId="0" applyFont="1" applyFill="1" applyBorder="1" applyAlignment="1" applyProtection="1">
      <alignment horizontal="center" vertical="center" wrapText="1"/>
      <protection locked="0"/>
    </xf>
    <xf numFmtId="41" fontId="39" fillId="13" borderId="39" xfId="0" applyNumberFormat="1" applyFont="1" applyFill="1" applyBorder="1"/>
    <xf numFmtId="41" fontId="45" fillId="13" borderId="39" xfId="0" applyNumberFormat="1" applyFont="1" applyFill="1" applyBorder="1"/>
    <xf numFmtId="167" fontId="45" fillId="13" borderId="39" xfId="0" applyNumberFormat="1" applyFont="1" applyFill="1" applyBorder="1"/>
    <xf numFmtId="0" fontId="39" fillId="13" borderId="29" xfId="0" applyFont="1" applyFill="1" applyBorder="1" applyAlignment="1" applyProtection="1">
      <alignment horizontal="center" vertical="center" wrapText="1"/>
      <protection locked="0"/>
    </xf>
    <xf numFmtId="38" fontId="39" fillId="13" borderId="29" xfId="0" applyNumberFormat="1" applyFont="1" applyFill="1" applyBorder="1"/>
    <xf numFmtId="38" fontId="45" fillId="13" borderId="29" xfId="0" applyNumberFormat="1" applyFont="1" applyFill="1" applyBorder="1"/>
    <xf numFmtId="38" fontId="0" fillId="0" borderId="0" xfId="0" applyNumberFormat="1"/>
    <xf numFmtId="0" fontId="39" fillId="13" borderId="40" xfId="0" applyFont="1" applyFill="1" applyBorder="1" applyAlignment="1" applyProtection="1">
      <alignment horizontal="center" vertical="center" wrapText="1"/>
      <protection locked="0"/>
    </xf>
    <xf numFmtId="41" fontId="39" fillId="13" borderId="40" xfId="0" applyNumberFormat="1" applyFont="1" applyFill="1" applyBorder="1"/>
    <xf numFmtId="41" fontId="45" fillId="13" borderId="40" xfId="0" applyNumberFormat="1" applyFont="1" applyFill="1" applyBorder="1"/>
    <xf numFmtId="167" fontId="45" fillId="13" borderId="40" xfId="0" applyNumberFormat="1" applyFont="1" applyFill="1" applyBorder="1"/>
    <xf numFmtId="9" fontId="45" fillId="13" borderId="39" xfId="6" applyFont="1" applyFill="1" applyBorder="1" applyProtection="1"/>
    <xf numFmtId="38" fontId="45" fillId="13" borderId="39" xfId="0" applyNumberFormat="1" applyFont="1" applyFill="1" applyBorder="1"/>
    <xf numFmtId="167" fontId="45" fillId="13" borderId="31" xfId="0" applyNumberFormat="1" applyFont="1" applyFill="1" applyBorder="1"/>
    <xf numFmtId="41" fontId="45" fillId="12" borderId="39" xfId="0" applyNumberFormat="1" applyFont="1" applyFill="1" applyBorder="1"/>
    <xf numFmtId="0" fontId="39" fillId="13" borderId="0" xfId="0" applyFont="1" applyFill="1" applyAlignment="1">
      <alignment horizontal="center" vertical="center" wrapText="1"/>
    </xf>
    <xf numFmtId="41" fontId="39" fillId="0" borderId="29" xfId="0" applyNumberFormat="1" applyFont="1" applyBorder="1"/>
    <xf numFmtId="41" fontId="45" fillId="11" borderId="29" xfId="0" applyNumberFormat="1" applyFont="1" applyFill="1" applyBorder="1"/>
    <xf numFmtId="41" fontId="39" fillId="6" borderId="29" xfId="0" applyNumberFormat="1" applyFont="1" applyFill="1" applyBorder="1"/>
    <xf numFmtId="167" fontId="45" fillId="11" borderId="29" xfId="0" applyNumberFormat="1" applyFont="1" applyFill="1" applyBorder="1"/>
    <xf numFmtId="167" fontId="45" fillId="2" borderId="29" xfId="0" applyNumberFormat="1" applyFont="1" applyFill="1" applyBorder="1"/>
    <xf numFmtId="167" fontId="45" fillId="11" borderId="36" xfId="0" applyNumberFormat="1" applyFont="1" applyFill="1" applyBorder="1"/>
    <xf numFmtId="41" fontId="39" fillId="12" borderId="29" xfId="0" applyNumberFormat="1" applyFont="1" applyFill="1" applyBorder="1"/>
    <xf numFmtId="0" fontId="2" fillId="0" borderId="29" xfId="0" applyFont="1" applyBorder="1" applyAlignment="1">
      <alignment vertical="center" wrapText="1"/>
    </xf>
    <xf numFmtId="0" fontId="45" fillId="11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167" fontId="44" fillId="11" borderId="29" xfId="0" applyNumberFormat="1" applyFont="1" applyFill="1" applyBorder="1" applyAlignment="1">
      <alignment wrapText="1"/>
    </xf>
    <xf numFmtId="167" fontId="44" fillId="2" borderId="29" xfId="0" applyNumberFormat="1" applyFont="1" applyFill="1" applyBorder="1" applyAlignment="1">
      <alignment wrapText="1"/>
    </xf>
    <xf numFmtId="167" fontId="44" fillId="11" borderId="36" xfId="0" applyNumberFormat="1" applyFont="1" applyFill="1" applyBorder="1" applyAlignment="1">
      <alignment wrapText="1"/>
    </xf>
    <xf numFmtId="0" fontId="0" fillId="12" borderId="29" xfId="0" applyFill="1" applyBorder="1"/>
    <xf numFmtId="0" fontId="0" fillId="0" borderId="29" xfId="0" applyBorder="1"/>
    <xf numFmtId="164" fontId="0" fillId="0" borderId="29" xfId="0" applyNumberFormat="1" applyBorder="1" applyAlignment="1">
      <alignment wrapText="1"/>
    </xf>
    <xf numFmtId="170" fontId="44" fillId="11" borderId="29" xfId="0" applyNumberFormat="1" applyFont="1" applyFill="1" applyBorder="1" applyAlignment="1">
      <alignment wrapText="1"/>
    </xf>
    <xf numFmtId="167" fontId="0" fillId="6" borderId="29" xfId="1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wrapText="1"/>
    </xf>
    <xf numFmtId="164" fontId="0" fillId="3" borderId="29" xfId="0" applyNumberFormat="1" applyFill="1" applyBorder="1" applyAlignment="1">
      <alignment wrapText="1"/>
    </xf>
    <xf numFmtId="164" fontId="0" fillId="12" borderId="29" xfId="0" applyNumberFormat="1" applyFill="1" applyBorder="1" applyAlignment="1">
      <alignment wrapText="1"/>
    </xf>
    <xf numFmtId="170" fontId="44" fillId="2" borderId="29" xfId="0" applyNumberFormat="1" applyFont="1" applyFill="1" applyBorder="1" applyAlignment="1">
      <alignment wrapText="1"/>
    </xf>
    <xf numFmtId="170" fontId="44" fillId="11" borderId="36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25" fillId="13" borderId="29" xfId="0" applyFont="1" applyFill="1" applyBorder="1" applyAlignment="1">
      <alignment horizontal="left" wrapText="1"/>
    </xf>
    <xf numFmtId="171" fontId="25" fillId="13" borderId="29" xfId="0" applyNumberFormat="1" applyFont="1" applyFill="1" applyBorder="1" applyAlignment="1">
      <alignment horizontal="right" wrapText="1"/>
    </xf>
    <xf numFmtId="171" fontId="45" fillId="13" borderId="29" xfId="0" applyNumberFormat="1" applyFont="1" applyFill="1" applyBorder="1" applyAlignment="1">
      <alignment horizontal="right" wrapText="1"/>
    </xf>
    <xf numFmtId="9" fontId="45" fillId="13" borderId="29" xfId="6" applyFont="1" applyFill="1" applyBorder="1" applyAlignment="1">
      <alignment horizontal="right" wrapText="1"/>
    </xf>
    <xf numFmtId="171" fontId="45" fillId="2" borderId="36" xfId="0" applyNumberFormat="1" applyFont="1" applyFill="1" applyBorder="1" applyAlignment="1">
      <alignment horizontal="right" wrapText="1"/>
    </xf>
    <xf numFmtId="165" fontId="25" fillId="12" borderId="29" xfId="0" applyNumberFormat="1" applyFont="1" applyFill="1" applyBorder="1" applyAlignment="1">
      <alignment horizontal="right" wrapText="1"/>
    </xf>
    <xf numFmtId="0" fontId="0" fillId="2" borderId="29" xfId="0" applyFill="1" applyBorder="1"/>
    <xf numFmtId="170" fontId="0" fillId="0" borderId="29" xfId="0" applyNumberFormat="1" applyBorder="1" applyAlignment="1">
      <alignment wrapText="1"/>
    </xf>
    <xf numFmtId="170" fontId="0" fillId="6" borderId="29" xfId="0" applyNumberFormat="1" applyFill="1" applyBorder="1" applyAlignment="1">
      <alignment wrapText="1"/>
    </xf>
    <xf numFmtId="167" fontId="0" fillId="6" borderId="29" xfId="1" applyNumberFormat="1" applyFont="1" applyFill="1" applyBorder="1" applyAlignment="1">
      <alignment wrapText="1"/>
    </xf>
    <xf numFmtId="170" fontId="0" fillId="0" borderId="29" xfId="0" applyNumberFormat="1" applyBorder="1" applyAlignment="1">
      <alignment horizontal="right" wrapText="1"/>
    </xf>
    <xf numFmtId="170" fontId="44" fillId="11" borderId="29" xfId="0" applyNumberFormat="1" applyFont="1" applyFill="1" applyBorder="1" applyAlignment="1">
      <alignment horizontal="right" wrapText="1"/>
    </xf>
    <xf numFmtId="164" fontId="0" fillId="14" borderId="29" xfId="0" applyNumberFormat="1" applyFill="1" applyBorder="1" applyAlignment="1">
      <alignment wrapText="1"/>
    </xf>
    <xf numFmtId="0" fontId="25" fillId="0" borderId="0" xfId="0" applyFont="1" applyAlignment="1">
      <alignment horizontal="left" wrapText="1"/>
    </xf>
    <xf numFmtId="43" fontId="0" fillId="6" borderId="29" xfId="1" applyFont="1" applyFill="1" applyBorder="1" applyAlignment="1">
      <alignment horizontal="right" wrapText="1"/>
    </xf>
    <xf numFmtId="170" fontId="44" fillId="2" borderId="29" xfId="0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horizontal="right" wrapText="1"/>
    </xf>
    <xf numFmtId="170" fontId="44" fillId="11" borderId="36" xfId="0" applyNumberFormat="1" applyFont="1" applyFill="1" applyBorder="1" applyAlignment="1">
      <alignment horizontal="right" wrapText="1"/>
    </xf>
    <xf numFmtId="164" fontId="0" fillId="12" borderId="29" xfId="0" applyNumberFormat="1" applyFill="1" applyBorder="1" applyAlignment="1">
      <alignment horizontal="right" wrapText="1"/>
    </xf>
    <xf numFmtId="170" fontId="45" fillId="2" borderId="36" xfId="0" applyNumberFormat="1" applyFont="1" applyFill="1" applyBorder="1" applyAlignment="1">
      <alignment horizontal="right" wrapText="1"/>
    </xf>
    <xf numFmtId="171" fontId="25" fillId="13" borderId="29" xfId="2" applyNumberFormat="1" applyFont="1" applyFill="1" applyBorder="1" applyAlignment="1">
      <alignment horizontal="right" wrapText="1"/>
    </xf>
    <xf numFmtId="170" fontId="45" fillId="15" borderId="36" xfId="0" applyNumberFormat="1" applyFont="1" applyFill="1" applyBorder="1" applyAlignment="1">
      <alignment horizontal="right" wrapText="1"/>
    </xf>
    <xf numFmtId="165" fontId="25" fillId="15" borderId="29" xfId="0" applyNumberFormat="1" applyFont="1" applyFill="1" applyBorder="1" applyAlignment="1">
      <alignment horizontal="right" wrapText="1"/>
    </xf>
    <xf numFmtId="0" fontId="0" fillId="15" borderId="29" xfId="0" applyFill="1" applyBorder="1"/>
    <xf numFmtId="171" fontId="45" fillId="15" borderId="36" xfId="0" applyNumberFormat="1" applyFont="1" applyFill="1" applyBorder="1" applyAlignment="1">
      <alignment horizontal="right" wrapText="1"/>
    </xf>
    <xf numFmtId="171" fontId="25" fillId="0" borderId="29" xfId="0" applyNumberFormat="1" applyFont="1" applyBorder="1" applyAlignment="1">
      <alignment horizontal="right" wrapText="1"/>
    </xf>
    <xf numFmtId="171" fontId="25" fillId="11" borderId="29" xfId="0" applyNumberFormat="1" applyFont="1" applyFill="1" applyBorder="1" applyAlignment="1">
      <alignment horizontal="right" wrapText="1"/>
    </xf>
    <xf numFmtId="171" fontId="25" fillId="6" borderId="29" xfId="0" applyNumberFormat="1" applyFont="1" applyFill="1" applyBorder="1" applyAlignment="1">
      <alignment horizontal="right" wrapText="1"/>
    </xf>
    <xf numFmtId="171" fontId="45" fillId="11" borderId="29" xfId="0" applyNumberFormat="1" applyFont="1" applyFill="1" applyBorder="1" applyAlignment="1">
      <alignment horizontal="right" wrapText="1"/>
    </xf>
    <xf numFmtId="171" fontId="45" fillId="2" borderId="29" xfId="0" applyNumberFormat="1" applyFont="1" applyFill="1" applyBorder="1" applyAlignment="1">
      <alignment horizontal="right" wrapText="1"/>
    </xf>
    <xf numFmtId="9" fontId="45" fillId="11" borderId="29" xfId="6" applyFont="1" applyFill="1" applyBorder="1" applyAlignment="1">
      <alignment horizontal="right" wrapText="1"/>
    </xf>
    <xf numFmtId="171" fontId="45" fillId="11" borderId="36" xfId="0" applyNumberFormat="1" applyFont="1" applyFill="1" applyBorder="1" applyAlignment="1">
      <alignment horizontal="right" wrapText="1"/>
    </xf>
    <xf numFmtId="165" fontId="25" fillId="0" borderId="29" xfId="0" applyNumberFormat="1" applyFont="1" applyBorder="1" applyAlignment="1">
      <alignment horizontal="right" wrapText="1"/>
    </xf>
    <xf numFmtId="167" fontId="0" fillId="0" borderId="29" xfId="1" applyNumberFormat="1" applyFont="1" applyBorder="1" applyAlignment="1">
      <alignment wrapText="1"/>
    </xf>
    <xf numFmtId="167" fontId="44" fillId="11" borderId="29" xfId="1" applyNumberFormat="1" applyFont="1" applyFill="1" applyBorder="1" applyAlignment="1">
      <alignment wrapText="1"/>
    </xf>
    <xf numFmtId="167" fontId="44" fillId="2" borderId="29" xfId="1" applyNumberFormat="1" applyFont="1" applyFill="1" applyBorder="1" applyAlignment="1">
      <alignment wrapText="1"/>
    </xf>
    <xf numFmtId="167" fontId="44" fillId="11" borderId="36" xfId="1" applyNumberFormat="1" applyFont="1" applyFill="1" applyBorder="1" applyAlignment="1">
      <alignment wrapText="1"/>
    </xf>
    <xf numFmtId="0" fontId="25" fillId="0" borderId="29" xfId="0" applyFont="1" applyBorder="1" applyAlignment="1">
      <alignment horizontal="left"/>
    </xf>
    <xf numFmtId="167" fontId="0" fillId="0" borderId="29" xfId="1" applyNumberFormat="1" applyFont="1" applyBorder="1" applyAlignment="1">
      <alignment horizontal="right" wrapText="1"/>
    </xf>
    <xf numFmtId="167" fontId="44" fillId="11" borderId="29" xfId="1" applyNumberFormat="1" applyFont="1" applyFill="1" applyBorder="1" applyAlignment="1">
      <alignment horizontal="right" wrapText="1"/>
    </xf>
    <xf numFmtId="167" fontId="44" fillId="2" borderId="29" xfId="1" applyNumberFormat="1" applyFont="1" applyFill="1" applyBorder="1" applyAlignment="1">
      <alignment horizontal="right" wrapText="1"/>
    </xf>
    <xf numFmtId="167" fontId="44" fillId="11" borderId="36" xfId="1" applyNumberFormat="1" applyFont="1" applyFill="1" applyBorder="1" applyAlignment="1">
      <alignment horizontal="right" wrapText="1"/>
    </xf>
    <xf numFmtId="0" fontId="25" fillId="13" borderId="29" xfId="0" applyFont="1" applyFill="1" applyBorder="1" applyAlignment="1">
      <alignment horizontal="left"/>
    </xf>
    <xf numFmtId="9" fontId="25" fillId="13" borderId="29" xfId="6" applyFont="1" applyFill="1" applyBorder="1" applyAlignment="1">
      <alignment horizontal="right" wrapText="1"/>
    </xf>
    <xf numFmtId="171" fontId="25" fillId="2" borderId="36" xfId="0" applyNumberFormat="1" applyFont="1" applyFill="1" applyBorder="1" applyAlignment="1">
      <alignment horizontal="right" wrapText="1"/>
    </xf>
    <xf numFmtId="0" fontId="45" fillId="0" borderId="29" xfId="0" applyFont="1" applyBorder="1" applyAlignment="1">
      <alignment horizontal="left"/>
    </xf>
    <xf numFmtId="167" fontId="44" fillId="0" borderId="29" xfId="1" applyNumberFormat="1" applyFont="1" applyBorder="1" applyAlignment="1">
      <alignment horizontal="right" wrapText="1"/>
    </xf>
    <xf numFmtId="167" fontId="44" fillId="6" borderId="29" xfId="1" applyNumberFormat="1" applyFont="1" applyFill="1" applyBorder="1" applyAlignment="1">
      <alignment horizontal="right" wrapText="1"/>
    </xf>
    <xf numFmtId="164" fontId="44" fillId="12" borderId="29" xfId="0" applyNumberFormat="1" applyFont="1" applyFill="1" applyBorder="1" applyAlignment="1">
      <alignment horizontal="right" wrapText="1"/>
    </xf>
    <xf numFmtId="164" fontId="44" fillId="0" borderId="29" xfId="0" applyNumberFormat="1" applyFont="1" applyBorder="1" applyAlignment="1">
      <alignment horizontal="right" wrapText="1"/>
    </xf>
    <xf numFmtId="0" fontId="44" fillId="0" borderId="29" xfId="0" applyFont="1" applyBorder="1"/>
    <xf numFmtId="171" fontId="0" fillId="0" borderId="29" xfId="0" applyNumberFormat="1" applyBorder="1" applyAlignment="1">
      <alignment horizontal="right" wrapText="1"/>
    </xf>
    <xf numFmtId="171" fontId="44" fillId="11" borderId="29" xfId="0" applyNumberFormat="1" applyFont="1" applyFill="1" applyBorder="1" applyAlignment="1">
      <alignment horizontal="right" wrapText="1"/>
    </xf>
    <xf numFmtId="171" fontId="0" fillId="6" borderId="29" xfId="0" applyNumberFormat="1" applyFill="1" applyBorder="1" applyAlignment="1">
      <alignment horizontal="right" wrapText="1"/>
    </xf>
    <xf numFmtId="171" fontId="44" fillId="2" borderId="29" xfId="0" applyNumberFormat="1" applyFont="1" applyFill="1" applyBorder="1" applyAlignment="1">
      <alignment horizontal="right" wrapText="1"/>
    </xf>
    <xf numFmtId="171" fontId="44" fillId="11" borderId="36" xfId="0" applyNumberFormat="1" applyFont="1" applyFill="1" applyBorder="1" applyAlignment="1">
      <alignment horizontal="right" wrapText="1"/>
    </xf>
    <xf numFmtId="0" fontId="25" fillId="5" borderId="29" xfId="0" applyFont="1" applyFill="1" applyBorder="1" applyAlignment="1">
      <alignment horizontal="left" wrapText="1"/>
    </xf>
    <xf numFmtId="167" fontId="0" fillId="5" borderId="29" xfId="1" applyNumberFormat="1" applyFont="1" applyFill="1" applyBorder="1" applyAlignment="1">
      <alignment horizontal="right" wrapText="1"/>
    </xf>
    <xf numFmtId="164" fontId="0" fillId="5" borderId="29" xfId="0" applyNumberFormat="1" applyFill="1" applyBorder="1" applyAlignment="1">
      <alignment horizontal="right" wrapText="1"/>
    </xf>
    <xf numFmtId="0" fontId="0" fillId="5" borderId="29" xfId="0" applyFill="1" applyBorder="1"/>
    <xf numFmtId="9" fontId="0" fillId="15" borderId="29" xfId="6" applyFont="1" applyFill="1" applyBorder="1"/>
    <xf numFmtId="167" fontId="0" fillId="0" borderId="29" xfId="1" applyNumberFormat="1" applyFont="1" applyFill="1" applyBorder="1" applyAlignment="1">
      <alignment wrapText="1"/>
    </xf>
    <xf numFmtId="167" fontId="0" fillId="0" borderId="0" xfId="0" applyNumberFormat="1"/>
    <xf numFmtId="0" fontId="47" fillId="0" borderId="29" xfId="0" applyFont="1" applyBorder="1" applyAlignment="1">
      <alignment horizontal="left" wrapText="1"/>
    </xf>
    <xf numFmtId="167" fontId="48" fillId="0" borderId="29" xfId="1" applyNumberFormat="1" applyFont="1" applyBorder="1" applyAlignment="1">
      <alignment wrapText="1"/>
    </xf>
    <xf numFmtId="167" fontId="48" fillId="11" borderId="29" xfId="1" applyNumberFormat="1" applyFont="1" applyFill="1" applyBorder="1" applyAlignment="1">
      <alignment wrapText="1"/>
    </xf>
    <xf numFmtId="167" fontId="48" fillId="2" borderId="29" xfId="1" applyNumberFormat="1" applyFont="1" applyFill="1" applyBorder="1" applyAlignment="1">
      <alignment wrapText="1"/>
    </xf>
    <xf numFmtId="9" fontId="48" fillId="11" borderId="29" xfId="6" applyFont="1" applyFill="1" applyBorder="1" applyAlignment="1">
      <alignment wrapText="1"/>
    </xf>
    <xf numFmtId="167" fontId="48" fillId="11" borderId="36" xfId="1" applyNumberFormat="1" applyFont="1" applyFill="1" applyBorder="1" applyAlignment="1">
      <alignment wrapText="1"/>
    </xf>
    <xf numFmtId="164" fontId="48" fillId="12" borderId="29" xfId="0" applyNumberFormat="1" applyFont="1" applyFill="1" applyBorder="1" applyAlignment="1">
      <alignment wrapText="1"/>
    </xf>
    <xf numFmtId="164" fontId="48" fillId="0" borderId="29" xfId="0" applyNumberFormat="1" applyFont="1" applyBorder="1" applyAlignment="1">
      <alignment wrapText="1"/>
    </xf>
    <xf numFmtId="0" fontId="48" fillId="0" borderId="29" xfId="0" applyFont="1" applyBorder="1"/>
    <xf numFmtId="167" fontId="0" fillId="5" borderId="29" xfId="1" applyNumberFormat="1" applyFont="1" applyFill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25" fillId="0" borderId="29" xfId="0" applyFont="1" applyBorder="1" applyAlignment="1">
      <alignment horizontal="left" vertical="center" wrapText="1"/>
    </xf>
    <xf numFmtId="167" fontId="0" fillId="0" borderId="29" xfId="1" applyNumberFormat="1" applyFont="1" applyFill="1" applyBorder="1" applyAlignment="1">
      <alignment vertical="center" wrapText="1"/>
    </xf>
    <xf numFmtId="167" fontId="44" fillId="11" borderId="29" xfId="1" applyNumberFormat="1" applyFont="1" applyFill="1" applyBorder="1" applyAlignment="1">
      <alignment vertical="center" wrapText="1"/>
    </xf>
    <xf numFmtId="167" fontId="44" fillId="2" borderId="29" xfId="1" applyNumberFormat="1" applyFont="1" applyFill="1" applyBorder="1" applyAlignment="1">
      <alignment vertical="center" wrapText="1"/>
    </xf>
    <xf numFmtId="9" fontId="44" fillId="11" borderId="29" xfId="6" applyFont="1" applyFill="1" applyBorder="1" applyAlignment="1">
      <alignment vertical="center" wrapText="1"/>
    </xf>
    <xf numFmtId="167" fontId="44" fillId="11" borderId="36" xfId="1" applyNumberFormat="1" applyFont="1" applyFill="1" applyBorder="1" applyAlignment="1">
      <alignment vertical="center" wrapText="1"/>
    </xf>
    <xf numFmtId="167" fontId="0" fillId="0" borderId="29" xfId="1" applyNumberFormat="1" applyFont="1" applyFill="1" applyBorder="1" applyAlignment="1">
      <alignment horizontal="right" wrapText="1"/>
    </xf>
    <xf numFmtId="165" fontId="45" fillId="12" borderId="29" xfId="0" applyNumberFormat="1" applyFont="1" applyFill="1" applyBorder="1" applyAlignment="1">
      <alignment horizontal="right" wrapText="1"/>
    </xf>
    <xf numFmtId="44" fontId="0" fillId="12" borderId="29" xfId="0" applyNumberFormat="1" applyFill="1" applyBorder="1"/>
    <xf numFmtId="44" fontId="0" fillId="0" borderId="29" xfId="0" applyNumberFormat="1" applyBorder="1"/>
    <xf numFmtId="9" fontId="0" fillId="0" borderId="29" xfId="6" applyFont="1" applyBorder="1"/>
    <xf numFmtId="44" fontId="25" fillId="0" borderId="29" xfId="0" applyNumberFormat="1" applyFont="1" applyBorder="1" applyAlignment="1">
      <alignment horizontal="left" wrapText="1"/>
    </xf>
    <xf numFmtId="44" fontId="25" fillId="5" borderId="29" xfId="0" applyNumberFormat="1" applyFont="1" applyFill="1" applyBorder="1" applyAlignment="1">
      <alignment horizontal="left" wrapText="1"/>
    </xf>
    <xf numFmtId="164" fontId="0" fillId="12" borderId="29" xfId="0" applyNumberFormat="1" applyFill="1" applyBorder="1"/>
    <xf numFmtId="165" fontId="45" fillId="11" borderId="29" xfId="0" applyNumberFormat="1" applyFont="1" applyFill="1" applyBorder="1" applyAlignment="1">
      <alignment horizontal="right" wrapText="1"/>
    </xf>
    <xf numFmtId="0" fontId="50" fillId="10" borderId="29" xfId="0" applyFont="1" applyFill="1" applyBorder="1" applyAlignment="1">
      <alignment horizontal="left" wrapText="1"/>
    </xf>
    <xf numFmtId="6" fontId="39" fillId="10" borderId="29" xfId="0" applyNumberFormat="1" applyFont="1" applyFill="1" applyBorder="1" applyAlignment="1">
      <alignment horizontal="right" wrapText="1"/>
    </xf>
    <xf numFmtId="6" fontId="45" fillId="10" borderId="29" xfId="0" applyNumberFormat="1" applyFont="1" applyFill="1" applyBorder="1" applyAlignment="1">
      <alignment horizontal="right" wrapText="1"/>
    </xf>
    <xf numFmtId="9" fontId="45" fillId="10" borderId="29" xfId="6" applyFont="1" applyFill="1" applyBorder="1" applyAlignment="1">
      <alignment horizontal="right" wrapText="1"/>
    </xf>
    <xf numFmtId="171" fontId="45" fillId="10" borderId="36" xfId="0" applyNumberFormat="1" applyFont="1" applyFill="1" applyBorder="1" applyAlignment="1">
      <alignment horizontal="right" wrapText="1"/>
    </xf>
    <xf numFmtId="165" fontId="39" fillId="12" borderId="29" xfId="0" applyNumberFormat="1" applyFont="1" applyFill="1" applyBorder="1" applyAlignment="1">
      <alignment horizontal="right" wrapText="1"/>
    </xf>
    <xf numFmtId="165" fontId="39" fillId="10" borderId="29" xfId="0" applyNumberFormat="1" applyFont="1" applyFill="1" applyBorder="1" applyAlignment="1">
      <alignment horizontal="right" wrapText="1"/>
    </xf>
    <xf numFmtId="0" fontId="40" fillId="10" borderId="29" xfId="0" applyFont="1" applyFill="1" applyBorder="1"/>
    <xf numFmtId="167" fontId="0" fillId="0" borderId="29" xfId="1" applyNumberFormat="1" applyFont="1" applyBorder="1"/>
    <xf numFmtId="167" fontId="44" fillId="11" borderId="29" xfId="1" applyNumberFormat="1" applyFont="1" applyFill="1" applyBorder="1"/>
    <xf numFmtId="167" fontId="44" fillId="11" borderId="36" xfId="1" applyNumberFormat="1" applyFont="1" applyFill="1" applyBorder="1"/>
    <xf numFmtId="0" fontId="51" fillId="0" borderId="0" xfId="0" applyFont="1"/>
    <xf numFmtId="164" fontId="0" fillId="3" borderId="29" xfId="0" applyNumberFormat="1" applyFill="1" applyBorder="1"/>
    <xf numFmtId="0" fontId="0" fillId="5" borderId="0" xfId="0" applyFill="1"/>
    <xf numFmtId="0" fontId="44" fillId="11" borderId="36" xfId="0" applyFont="1" applyFill="1" applyBorder="1"/>
    <xf numFmtId="0" fontId="45" fillId="7" borderId="29" xfId="0" applyFont="1" applyFill="1" applyBorder="1" applyAlignment="1">
      <alignment horizontal="right" wrapText="1"/>
    </xf>
    <xf numFmtId="171" fontId="45" fillId="7" borderId="29" xfId="0" applyNumberFormat="1" applyFont="1" applyFill="1" applyBorder="1" applyAlignment="1">
      <alignment horizontal="right" wrapText="1"/>
    </xf>
    <xf numFmtId="165" fontId="45" fillId="7" borderId="29" xfId="0" applyNumberFormat="1" applyFont="1" applyFill="1" applyBorder="1" applyAlignment="1">
      <alignment horizontal="right" wrapText="1"/>
    </xf>
    <xf numFmtId="0" fontId="44" fillId="7" borderId="29" xfId="0" applyFont="1" applyFill="1" applyBorder="1"/>
    <xf numFmtId="0" fontId="45" fillId="10" borderId="29" xfId="0" applyFont="1" applyFill="1" applyBorder="1" applyAlignment="1">
      <alignment horizontal="right" wrapText="1"/>
    </xf>
    <xf numFmtId="8" fontId="45" fillId="10" borderId="29" xfId="0" applyNumberFormat="1" applyFont="1" applyFill="1" applyBorder="1" applyAlignment="1">
      <alignment horizontal="right" wrapText="1"/>
    </xf>
    <xf numFmtId="6" fontId="45" fillId="10" borderId="29" xfId="2" applyNumberFormat="1" applyFont="1" applyFill="1" applyBorder="1" applyAlignment="1">
      <alignment horizontal="right" wrapText="1"/>
    </xf>
    <xf numFmtId="168" fontId="45" fillId="10" borderId="36" xfId="2" applyNumberFormat="1" applyFont="1" applyFill="1" applyBorder="1" applyAlignment="1">
      <alignment horizontal="right" wrapText="1"/>
    </xf>
    <xf numFmtId="165" fontId="45" fillId="10" borderId="29" xfId="0" applyNumberFormat="1" applyFont="1" applyFill="1" applyBorder="1" applyAlignment="1">
      <alignment horizontal="right" wrapText="1"/>
    </xf>
    <xf numFmtId="0" fontId="44" fillId="10" borderId="29" xfId="0" applyFont="1" applyFill="1" applyBorder="1"/>
    <xf numFmtId="0" fontId="44" fillId="0" borderId="36" xfId="0" applyFont="1" applyBorder="1"/>
    <xf numFmtId="171" fontId="0" fillId="0" borderId="0" xfId="0" applyNumberFormat="1"/>
    <xf numFmtId="171" fontId="44" fillId="0" borderId="0" xfId="0" applyNumberFormat="1" applyFont="1"/>
    <xf numFmtId="0" fontId="44" fillId="0" borderId="0" xfId="0" applyFont="1" applyFill="1"/>
    <xf numFmtId="0" fontId="52" fillId="0" borderId="0" xfId="8" applyFont="1" applyFill="1" applyBorder="1" applyAlignment="1"/>
    <xf numFmtId="0" fontId="41" fillId="0" borderId="0" xfId="8" applyFont="1" applyBorder="1" applyAlignment="1">
      <alignment horizontal="center" wrapText="1"/>
    </xf>
    <xf numFmtId="0" fontId="42" fillId="0" borderId="0" xfId="8" applyFont="1" applyBorder="1" applyAlignment="1">
      <alignment horizontal="right"/>
    </xf>
    <xf numFmtId="41" fontId="42" fillId="0" borderId="0" xfId="8" applyNumberFormat="1" applyFont="1" applyBorder="1" applyAlignment="1">
      <alignment horizontal="right"/>
    </xf>
    <xf numFmtId="168" fontId="42" fillId="0" borderId="0" xfId="2" applyNumberFormat="1" applyFont="1" applyBorder="1" applyAlignment="1">
      <alignment horizontal="right"/>
    </xf>
    <xf numFmtId="41" fontId="41" fillId="0" borderId="0" xfId="8" applyNumberFormat="1" applyFont="1" applyBorder="1" applyAlignment="1">
      <alignment horizontal="center"/>
    </xf>
    <xf numFmtId="41" fontId="42" fillId="0" borderId="0" xfId="8" applyNumberFormat="1" applyFont="1" applyBorder="1"/>
    <xf numFmtId="41" fontId="41" fillId="0" borderId="0" xfId="8" applyNumberFormat="1" applyFont="1" applyBorder="1" applyAlignment="1">
      <alignment horizontal="right"/>
    </xf>
    <xf numFmtId="0" fontId="54" fillId="0" borderId="0" xfId="0" applyFont="1" applyFill="1" applyBorder="1"/>
    <xf numFmtId="0" fontId="54" fillId="0" borderId="0" xfId="0" applyFont="1"/>
    <xf numFmtId="43" fontId="55" fillId="0" borderId="0" xfId="1" applyFont="1" applyFill="1" applyBorder="1" applyAlignment="1" applyProtection="1">
      <alignment horizontal="centerContinuous" vertical="top"/>
    </xf>
    <xf numFmtId="0" fontId="57" fillId="0" borderId="0" xfId="3" applyFont="1" applyBorder="1" applyAlignment="1" applyProtection="1">
      <alignment vertical="top"/>
    </xf>
    <xf numFmtId="167" fontId="57" fillId="0" borderId="0" xfId="1" applyNumberFormat="1" applyFont="1" applyBorder="1" applyAlignment="1" applyProtection="1">
      <alignment vertical="top"/>
    </xf>
    <xf numFmtId="167" fontId="57" fillId="0" borderId="0" xfId="1" applyNumberFormat="1" applyFont="1" applyFill="1" applyBorder="1" applyAlignment="1" applyProtection="1">
      <alignment vertical="top"/>
    </xf>
    <xf numFmtId="0" fontId="54" fillId="0" borderId="0" xfId="0" applyFont="1" applyBorder="1"/>
    <xf numFmtId="167" fontId="60" fillId="0" borderId="0" xfId="1" applyNumberFormat="1" applyFont="1" applyFill="1" applyBorder="1" applyAlignment="1" applyProtection="1">
      <alignment vertical="top" wrapText="1"/>
    </xf>
    <xf numFmtId="0" fontId="61" fillId="0" borderId="0" xfId="0" applyFont="1" applyBorder="1" applyAlignment="1">
      <alignment horizontal="left"/>
    </xf>
    <xf numFmtId="164" fontId="62" fillId="0" borderId="0" xfId="0" applyNumberFormat="1" applyFont="1" applyBorder="1" applyAlignment="1"/>
    <xf numFmtId="164" fontId="62" fillId="0" borderId="0" xfId="0" applyNumberFormat="1" applyFont="1" applyBorder="1" applyAlignment="1">
      <alignment horizontal="right"/>
    </xf>
    <xf numFmtId="165" fontId="61" fillId="0" borderId="0" xfId="0" applyNumberFormat="1" applyFont="1" applyBorder="1" applyAlignment="1">
      <alignment horizontal="right"/>
    </xf>
    <xf numFmtId="0" fontId="57" fillId="0" borderId="0" xfId="3" applyFont="1" applyAlignment="1" applyProtection="1">
      <alignment vertical="top"/>
    </xf>
    <xf numFmtId="167" fontId="57" fillId="0" borderId="0" xfId="1" applyNumberFormat="1" applyFont="1" applyAlignment="1" applyProtection="1">
      <alignment vertical="top"/>
    </xf>
    <xf numFmtId="167" fontId="42" fillId="0" borderId="0" xfId="1" applyNumberFormat="1" applyFont="1" applyFill="1" applyBorder="1" applyAlignment="1" applyProtection="1">
      <alignment vertical="top" wrapText="1"/>
    </xf>
    <xf numFmtId="4" fontId="42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horizontal="right" vertical="top" wrapText="1"/>
    </xf>
    <xf numFmtId="44" fontId="41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vertical="top" wrapText="1"/>
    </xf>
    <xf numFmtId="43" fontId="55" fillId="0" borderId="0" xfId="1" applyFont="1" applyFill="1" applyBorder="1" applyAlignment="1" applyProtection="1">
      <alignment vertical="top"/>
    </xf>
    <xf numFmtId="43" fontId="55" fillId="7" borderId="4" xfId="1" applyFont="1" applyFill="1" applyBorder="1" applyAlignment="1" applyProtection="1">
      <alignment vertical="top"/>
    </xf>
    <xf numFmtId="0" fontId="64" fillId="0" borderId="0" xfId="0" applyFont="1" applyFill="1" applyBorder="1" applyAlignment="1">
      <alignment horizontal="centerContinuous"/>
    </xf>
    <xf numFmtId="43" fontId="55" fillId="7" borderId="5" xfId="1" applyFont="1" applyFill="1" applyBorder="1" applyAlignment="1">
      <alignment horizontal="centerContinuous"/>
    </xf>
    <xf numFmtId="43" fontId="55" fillId="0" borderId="0" xfId="1" applyFont="1" applyFill="1" applyBorder="1" applyAlignment="1"/>
    <xf numFmtId="43" fontId="55" fillId="7" borderId="21" xfId="1" applyFont="1" applyFill="1" applyBorder="1" applyAlignment="1"/>
    <xf numFmtId="166" fontId="65" fillId="0" borderId="0" xfId="1" applyNumberFormat="1" applyFont="1" applyBorder="1" applyAlignment="1" applyProtection="1">
      <alignment horizontal="centerContinuous"/>
    </xf>
    <xf numFmtId="0" fontId="57" fillId="0" borderId="0" xfId="0" applyFont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166" fontId="65" fillId="0" borderId="0" xfId="1" applyNumberFormat="1" applyFont="1" applyAlignment="1" applyProtection="1">
      <alignment horizontal="centerContinuous"/>
    </xf>
    <xf numFmtId="0" fontId="65" fillId="0" borderId="0" xfId="0" applyNumberFormat="1" applyFont="1"/>
    <xf numFmtId="0" fontId="57" fillId="0" borderId="0" xfId="0" applyFont="1"/>
    <xf numFmtId="38" fontId="57" fillId="0" borderId="0" xfId="1" applyNumberFormat="1" applyFont="1"/>
    <xf numFmtId="0" fontId="57" fillId="0" borderId="0" xfId="0" applyFont="1" applyFill="1"/>
    <xf numFmtId="0" fontId="57" fillId="0" borderId="0" xfId="0" applyFont="1" applyFill="1" applyBorder="1"/>
    <xf numFmtId="0" fontId="57" fillId="0" borderId="0" xfId="0" applyFont="1" applyBorder="1" applyAlignment="1">
      <alignment wrapText="1"/>
    </xf>
    <xf numFmtId="0" fontId="60" fillId="0" borderId="0" xfId="0" applyFont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38" fontId="58" fillId="7" borderId="0" xfId="0" applyNumberFormat="1" applyFont="1" applyFill="1" applyBorder="1" applyAlignment="1" applyProtection="1">
      <alignment horizontal="center" wrapText="1"/>
    </xf>
    <xf numFmtId="166" fontId="58" fillId="0" borderId="0" xfId="1" applyNumberFormat="1" applyFont="1" applyFill="1" applyBorder="1" applyAlignment="1" applyProtection="1"/>
    <xf numFmtId="166" fontId="58" fillId="0" borderId="0" xfId="1" applyNumberFormat="1" applyFont="1" applyAlignment="1" applyProtection="1"/>
    <xf numFmtId="0" fontId="66" fillId="0" borderId="0" xfId="0" applyFont="1"/>
    <xf numFmtId="0" fontId="60" fillId="0" borderId="0" xfId="0" applyFont="1" applyBorder="1" applyAlignment="1">
      <alignment horizontal="center"/>
    </xf>
    <xf numFmtId="38" fontId="58" fillId="7" borderId="0" xfId="3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58" fillId="7" borderId="23" xfId="0" applyFont="1" applyFill="1" applyBorder="1" applyAlignment="1">
      <alignment horizontal="center"/>
    </xf>
    <xf numFmtId="0" fontId="58" fillId="0" borderId="0" xfId="0" applyFont="1" applyBorder="1" applyAlignment="1">
      <alignment horizontal="left" wrapText="1"/>
    </xf>
    <xf numFmtId="38" fontId="60" fillId="0" borderId="0" xfId="3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wrapText="1"/>
    </xf>
    <xf numFmtId="41" fontId="60" fillId="0" borderId="27" xfId="5" applyNumberFormat="1" applyFont="1" applyFill="1" applyBorder="1" applyAlignment="1" applyProtection="1">
      <alignment horizontal="left" wrapText="1"/>
      <protection locked="0"/>
    </xf>
    <xf numFmtId="167" fontId="66" fillId="0" borderId="0" xfId="1" applyNumberFormat="1" applyFont="1" applyBorder="1" applyAlignment="1">
      <alignment horizontal="right" wrapText="1"/>
    </xf>
    <xf numFmtId="167" fontId="58" fillId="0" borderId="0" xfId="1" applyNumberFormat="1" applyFont="1" applyFill="1" applyBorder="1" applyAlignment="1">
      <alignment horizontal="left" wrapText="1"/>
    </xf>
    <xf numFmtId="49" fontId="60" fillId="0" borderId="26" xfId="5" applyNumberFormat="1" applyFont="1" applyFill="1" applyBorder="1" applyAlignment="1" applyProtection="1">
      <alignment horizontal="left" wrapText="1"/>
      <protection locked="0"/>
    </xf>
    <xf numFmtId="0" fontId="58" fillId="6" borderId="0" xfId="0" applyFont="1" applyFill="1" applyBorder="1" applyAlignment="1">
      <alignment horizontal="left" wrapText="1"/>
    </xf>
    <xf numFmtId="167" fontId="59" fillId="6" borderId="0" xfId="1" applyNumberFormat="1" applyFont="1" applyFill="1" applyBorder="1" applyAlignment="1">
      <alignment horizontal="right" wrapText="1"/>
    </xf>
    <xf numFmtId="0" fontId="58" fillId="0" borderId="0" xfId="0" applyNumberFormat="1" applyFont="1"/>
    <xf numFmtId="0" fontId="60" fillId="0" borderId="0" xfId="0" applyFont="1"/>
    <xf numFmtId="38" fontId="60" fillId="0" borderId="0" xfId="1" applyNumberFormat="1" applyFont="1"/>
    <xf numFmtId="0" fontId="60" fillId="0" borderId="0" xfId="0" applyFont="1" applyFill="1"/>
    <xf numFmtId="0" fontId="60" fillId="0" borderId="0" xfId="0" applyFont="1" applyFill="1" applyBorder="1"/>
    <xf numFmtId="0" fontId="60" fillId="0" borderId="0" xfId="0" applyFont="1" applyBorder="1" applyAlignment="1">
      <alignment wrapText="1"/>
    </xf>
    <xf numFmtId="167" fontId="60" fillId="0" borderId="0" xfId="1" applyNumberFormat="1" applyFont="1" applyFill="1" applyBorder="1" applyAlignment="1">
      <alignment horizontal="right" vertical="top" wrapText="1"/>
    </xf>
    <xf numFmtId="166" fontId="65" fillId="0" borderId="32" xfId="1" applyNumberFormat="1" applyFont="1" applyBorder="1" applyAlignment="1" applyProtection="1">
      <alignment horizontal="centerContinuous"/>
    </xf>
    <xf numFmtId="166" fontId="65" fillId="0" borderId="33" xfId="1" applyNumberFormat="1" applyFont="1" applyBorder="1" applyAlignment="1" applyProtection="1">
      <alignment horizontal="centerContinuous"/>
    </xf>
    <xf numFmtId="166" fontId="58" fillId="0" borderId="32" xfId="1" applyNumberFormat="1" applyFont="1" applyBorder="1" applyAlignment="1" applyProtection="1">
      <alignment horizontal="centerContinuous"/>
    </xf>
    <xf numFmtId="49" fontId="58" fillId="0" borderId="32" xfId="0" applyNumberFormat="1" applyFont="1" applyBorder="1" applyAlignment="1">
      <alignment horizontal="center"/>
    </xf>
    <xf numFmtId="38" fontId="58" fillId="7" borderId="33" xfId="0" applyNumberFormat="1" applyFont="1" applyFill="1" applyBorder="1" applyAlignment="1" applyProtection="1">
      <alignment horizontal="center" wrapText="1"/>
    </xf>
    <xf numFmtId="0" fontId="59" fillId="0" borderId="32" xfId="0" applyFont="1" applyBorder="1" applyAlignment="1">
      <alignment horizontal="left" wrapText="1"/>
    </xf>
    <xf numFmtId="38" fontId="60" fillId="0" borderId="33" xfId="3" applyNumberFormat="1" applyFont="1" applyFill="1" applyBorder="1" applyAlignment="1">
      <alignment horizontal="center" vertical="top" wrapText="1"/>
    </xf>
    <xf numFmtId="9" fontId="60" fillId="0" borderId="33" xfId="6" applyFont="1" applyFill="1" applyBorder="1" applyAlignment="1">
      <alignment horizontal="center" vertical="top" wrapText="1"/>
    </xf>
    <xf numFmtId="0" fontId="59" fillId="6" borderId="32" xfId="0" applyFont="1" applyFill="1" applyBorder="1" applyAlignment="1">
      <alignment horizontal="left" wrapText="1"/>
    </xf>
    <xf numFmtId="9" fontId="59" fillId="6" borderId="33" xfId="6" applyFont="1" applyFill="1" applyBorder="1" applyAlignment="1">
      <alignment horizontal="center" wrapText="1"/>
    </xf>
    <xf numFmtId="167" fontId="66" fillId="0" borderId="33" xfId="1" applyNumberFormat="1" applyFont="1" applyBorder="1" applyAlignment="1">
      <alignment horizontal="right" wrapText="1"/>
    </xf>
    <xf numFmtId="168" fontId="59" fillId="0" borderId="33" xfId="2" applyNumberFormat="1" applyFont="1" applyBorder="1" applyAlignment="1">
      <alignment horizontal="right" wrapText="1"/>
    </xf>
    <xf numFmtId="0" fontId="59" fillId="0" borderId="32" xfId="0" applyFont="1" applyFill="1" applyBorder="1" applyAlignment="1">
      <alignment horizontal="left" wrapText="1"/>
    </xf>
    <xf numFmtId="9" fontId="66" fillId="0" borderId="33" xfId="6" applyFont="1" applyBorder="1" applyAlignment="1">
      <alignment horizontal="center" wrapText="1"/>
    </xf>
    <xf numFmtId="0" fontId="59" fillId="0" borderId="41" xfId="0" applyFont="1" applyBorder="1" applyAlignment="1">
      <alignment horizontal="left" wrapText="1"/>
    </xf>
    <xf numFmtId="0" fontId="58" fillId="0" borderId="19" xfId="0" applyFont="1" applyBorder="1" applyAlignment="1">
      <alignment horizontal="left" wrapText="1"/>
    </xf>
    <xf numFmtId="167" fontId="66" fillId="0" borderId="19" xfId="1" applyNumberFormat="1" applyFont="1" applyBorder="1" applyAlignment="1">
      <alignment horizontal="right" wrapText="1"/>
    </xf>
    <xf numFmtId="167" fontId="58" fillId="0" borderId="19" xfId="1" applyNumberFormat="1" applyFont="1" applyFill="1" applyBorder="1" applyAlignment="1">
      <alignment horizontal="left" wrapText="1"/>
    </xf>
    <xf numFmtId="167" fontId="66" fillId="0" borderId="37" xfId="1" applyNumberFormat="1" applyFont="1" applyBorder="1" applyAlignment="1">
      <alignment horizontal="right" wrapText="1"/>
    </xf>
    <xf numFmtId="0" fontId="57" fillId="0" borderId="32" xfId="3" applyFont="1" applyBorder="1" applyAlignment="1" applyProtection="1">
      <alignment vertical="top"/>
    </xf>
    <xf numFmtId="0" fontId="57" fillId="0" borderId="33" xfId="3" applyFont="1" applyBorder="1" applyAlignment="1" applyProtection="1">
      <alignment vertical="top"/>
    </xf>
    <xf numFmtId="0" fontId="41" fillId="0" borderId="32" xfId="8" applyFont="1" applyBorder="1" applyAlignment="1">
      <alignment horizontal="center"/>
    </xf>
    <xf numFmtId="0" fontId="59" fillId="0" borderId="33" xfId="0" applyFont="1" applyBorder="1" applyAlignment="1">
      <alignment horizontal="center" wrapText="1"/>
    </xf>
    <xf numFmtId="0" fontId="42" fillId="0" borderId="32" xfId="8" applyFont="1" applyBorder="1"/>
    <xf numFmtId="0" fontId="60" fillId="0" borderId="33" xfId="3" applyFont="1" applyFill="1" applyBorder="1" applyAlignment="1" applyProtection="1">
      <alignment vertical="top"/>
      <protection locked="0"/>
    </xf>
    <xf numFmtId="0" fontId="42" fillId="0" borderId="33" xfId="3" applyFont="1" applyFill="1" applyBorder="1" applyAlignment="1" applyProtection="1">
      <alignment vertical="top"/>
      <protection locked="0"/>
    </xf>
    <xf numFmtId="0" fontId="42" fillId="0" borderId="32" xfId="8" applyFont="1" applyBorder="1" applyAlignment="1">
      <alignment horizontal="left" wrapText="1" indent="2"/>
    </xf>
    <xf numFmtId="0" fontId="42" fillId="0" borderId="32" xfId="8" applyFont="1" applyBorder="1" applyAlignment="1">
      <alignment horizontal="left" indent="2"/>
    </xf>
    <xf numFmtId="0" fontId="42" fillId="0" borderId="33" xfId="3" applyFont="1" applyFill="1" applyBorder="1" applyAlignment="1" applyProtection="1">
      <alignment vertical="top" wrapText="1"/>
      <protection locked="0"/>
    </xf>
    <xf numFmtId="0" fontId="42" fillId="0" borderId="32" xfId="8" applyFont="1" applyBorder="1" applyAlignment="1">
      <alignment horizontal="left" indent="1"/>
    </xf>
    <xf numFmtId="0" fontId="41" fillId="0" borderId="32" xfId="8" applyFont="1" applyBorder="1" applyAlignment="1">
      <alignment horizontal="left" indent="5"/>
    </xf>
    <xf numFmtId="44" fontId="42" fillId="0" borderId="33" xfId="3" applyNumberFormat="1" applyFont="1" applyFill="1" applyBorder="1" applyAlignment="1" applyProtection="1">
      <alignment vertical="top"/>
      <protection locked="0"/>
    </xf>
    <xf numFmtId="0" fontId="57" fillId="0" borderId="41" xfId="3" applyFont="1" applyBorder="1" applyAlignment="1" applyProtection="1">
      <alignment vertical="top"/>
    </xf>
    <xf numFmtId="167" fontId="57" fillId="0" borderId="19" xfId="1" applyNumberFormat="1" applyFont="1" applyBorder="1" applyAlignment="1" applyProtection="1">
      <alignment vertical="top"/>
    </xf>
    <xf numFmtId="167" fontId="57" fillId="0" borderId="19" xfId="1" applyNumberFormat="1" applyFont="1" applyFill="1" applyBorder="1" applyAlignment="1" applyProtection="1">
      <alignment vertical="top"/>
    </xf>
    <xf numFmtId="0" fontId="57" fillId="0" borderId="37" xfId="3" applyFont="1" applyBorder="1" applyAlignment="1" applyProtection="1">
      <alignment vertical="top"/>
    </xf>
    <xf numFmtId="168" fontId="42" fillId="0" borderId="33" xfId="3" applyNumberFormat="1" applyFont="1" applyFill="1" applyBorder="1" applyAlignment="1" applyProtection="1">
      <alignment vertical="top"/>
      <protection locked="0"/>
    </xf>
    <xf numFmtId="172" fontId="0" fillId="6" borderId="29" xfId="1" applyNumberFormat="1" applyFont="1" applyFill="1" applyBorder="1"/>
    <xf numFmtId="172" fontId="44" fillId="11" borderId="29" xfId="1" applyNumberFormat="1" applyFont="1" applyFill="1" applyBorder="1"/>
    <xf numFmtId="172" fontId="44" fillId="11" borderId="29" xfId="6" applyNumberFormat="1" applyFont="1" applyFill="1" applyBorder="1"/>
    <xf numFmtId="172" fontId="44" fillId="11" borderId="29" xfId="1" applyNumberFormat="1" applyFont="1" applyFill="1" applyBorder="1" applyAlignment="1">
      <alignment horizontal="right" wrapText="1"/>
    </xf>
    <xf numFmtId="6" fontId="25" fillId="13" borderId="29" xfId="0" applyNumberFormat="1" applyFont="1" applyFill="1" applyBorder="1" applyAlignment="1">
      <alignment horizontal="right" wrapText="1"/>
    </xf>
    <xf numFmtId="6" fontId="45" fillId="13" borderId="29" xfId="0" applyNumberFormat="1" applyFont="1" applyFill="1" applyBorder="1" applyAlignment="1">
      <alignment horizontal="right" wrapText="1"/>
    </xf>
    <xf numFmtId="6" fontId="25" fillId="6" borderId="29" xfId="0" applyNumberFormat="1" applyFont="1" applyFill="1" applyBorder="1" applyAlignment="1">
      <alignment horizontal="right" wrapText="1"/>
    </xf>
    <xf numFmtId="6" fontId="44" fillId="11" borderId="29" xfId="0" applyNumberFormat="1" applyFont="1" applyFill="1" applyBorder="1"/>
    <xf numFmtId="6" fontId="44" fillId="11" borderId="29" xfId="6" applyNumberFormat="1" applyFont="1" applyFill="1" applyBorder="1"/>
    <xf numFmtId="6" fontId="45" fillId="6" borderId="29" xfId="0" applyNumberFormat="1" applyFont="1" applyFill="1" applyBorder="1" applyAlignment="1">
      <alignment horizontal="right" wrapText="1"/>
    </xf>
    <xf numFmtId="6" fontId="45" fillId="11" borderId="29" xfId="0" applyNumberFormat="1" applyFont="1" applyFill="1" applyBorder="1" applyAlignment="1">
      <alignment horizontal="right" wrapText="1"/>
    </xf>
    <xf numFmtId="6" fontId="45" fillId="11" borderId="29" xfId="6" applyNumberFormat="1" applyFont="1" applyFill="1" applyBorder="1" applyAlignment="1">
      <alignment horizontal="right" wrapText="1"/>
    </xf>
    <xf numFmtId="6" fontId="45" fillId="10" borderId="29" xfId="6" applyNumberFormat="1" applyFont="1" applyFill="1" applyBorder="1" applyAlignment="1">
      <alignment horizontal="right" wrapText="1"/>
    </xf>
    <xf numFmtId="41" fontId="42" fillId="0" borderId="19" xfId="8" applyNumberFormat="1" applyFont="1" applyBorder="1" applyAlignment="1">
      <alignment horizontal="right"/>
    </xf>
    <xf numFmtId="0" fontId="41" fillId="0" borderId="32" xfId="8" applyFont="1" applyBorder="1"/>
    <xf numFmtId="43" fontId="41" fillId="0" borderId="0" xfId="5" applyNumberFormat="1" applyFont="1" applyFill="1" applyBorder="1" applyAlignment="1" applyProtection="1">
      <alignment horizontal="right" vertical="top" wrapText="1"/>
    </xf>
    <xf numFmtId="0" fontId="41" fillId="0" borderId="33" xfId="3" applyFont="1" applyFill="1" applyBorder="1" applyAlignment="1" applyProtection="1">
      <alignment vertical="top"/>
      <protection locked="0"/>
    </xf>
    <xf numFmtId="164" fontId="61" fillId="0" borderId="0" xfId="0" applyNumberFormat="1" applyFont="1" applyBorder="1" applyAlignment="1">
      <alignment horizontal="right"/>
    </xf>
    <xf numFmtId="0" fontId="67" fillId="0" borderId="0" xfId="0" applyFont="1"/>
    <xf numFmtId="168" fontId="41" fillId="0" borderId="28" xfId="2" applyNumberFormat="1" applyFont="1" applyBorder="1" applyAlignment="1">
      <alignment horizontal="right"/>
    </xf>
    <xf numFmtId="0" fontId="41" fillId="0" borderId="33" xfId="3" applyFont="1" applyFill="1" applyBorder="1" applyAlignment="1" applyProtection="1">
      <alignment vertical="top" wrapText="1"/>
      <protection locked="0"/>
    </xf>
    <xf numFmtId="41" fontId="41" fillId="0" borderId="19" xfId="8" applyNumberFormat="1" applyFont="1" applyBorder="1" applyAlignment="1">
      <alignment horizontal="right"/>
    </xf>
    <xf numFmtId="41" fontId="42" fillId="0" borderId="19" xfId="8" applyNumberFormat="1" applyFont="1" applyBorder="1"/>
    <xf numFmtId="41" fontId="41" fillId="0" borderId="22" xfId="8" applyNumberFormat="1" applyFont="1" applyBorder="1" applyAlignment="1">
      <alignment horizontal="right"/>
    </xf>
    <xf numFmtId="167" fontId="59" fillId="0" borderId="0" xfId="1" applyNumberFormat="1" applyFont="1" applyBorder="1" applyAlignment="1">
      <alignment horizontal="right" wrapText="1"/>
    </xf>
    <xf numFmtId="5" fontId="22" fillId="5" borderId="0" xfId="2" applyNumberFormat="1" applyFont="1" applyFill="1" applyBorder="1" applyAlignment="1"/>
    <xf numFmtId="6" fontId="22" fillId="5" borderId="0" xfId="2" applyNumberFormat="1" applyFont="1" applyFill="1" applyBorder="1" applyAlignment="1"/>
    <xf numFmtId="38" fontId="44" fillId="11" borderId="29" xfId="0" applyNumberFormat="1" applyFont="1" applyFill="1" applyBorder="1" applyAlignment="1">
      <alignment wrapText="1"/>
    </xf>
    <xf numFmtId="38" fontId="44" fillId="11" borderId="29" xfId="0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wrapText="1"/>
    </xf>
    <xf numFmtId="38" fontId="48" fillId="11" borderId="29" xfId="1" applyNumberFormat="1" applyFont="1" applyFill="1" applyBorder="1" applyAlignment="1">
      <alignment wrapText="1"/>
    </xf>
    <xf numFmtId="38" fontId="44" fillId="11" borderId="29" xfId="1" applyNumberFormat="1" applyFont="1" applyFill="1" applyBorder="1" applyAlignment="1">
      <alignment vertical="center" wrapText="1"/>
    </xf>
    <xf numFmtId="6" fontId="25" fillId="13" borderId="29" xfId="2" applyNumberFormat="1" applyFont="1" applyFill="1" applyBorder="1" applyAlignment="1">
      <alignment horizontal="right" wrapText="1"/>
    </xf>
    <xf numFmtId="40" fontId="20" fillId="4" borderId="20" xfId="1" applyNumberFormat="1" applyFont="1" applyFill="1" applyBorder="1" applyAlignment="1">
      <alignment vertical="center"/>
    </xf>
    <xf numFmtId="43" fontId="20" fillId="4" borderId="20" xfId="1" applyNumberFormat="1" applyFont="1" applyFill="1" applyBorder="1" applyAlignment="1">
      <alignment vertical="center"/>
    </xf>
    <xf numFmtId="41" fontId="45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45" fillId="8" borderId="29" xfId="1" applyNumberFormat="1" applyFont="1" applyFill="1" applyBorder="1" applyAlignment="1" applyProtection="1">
      <alignment vertical="center" wrapText="1"/>
      <protection locked="0"/>
    </xf>
    <xf numFmtId="167" fontId="45" fillId="8" borderId="29" xfId="0" applyNumberFormat="1" applyFont="1" applyFill="1" applyBorder="1"/>
    <xf numFmtId="167" fontId="44" fillId="8" borderId="29" xfId="0" applyNumberFormat="1" applyFont="1" applyFill="1" applyBorder="1" applyAlignment="1">
      <alignment wrapText="1"/>
    </xf>
    <xf numFmtId="9" fontId="44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horizontal="right" wrapText="1"/>
    </xf>
    <xf numFmtId="9" fontId="45" fillId="8" borderId="29" xfId="6" applyFont="1" applyFill="1" applyBorder="1" applyAlignment="1">
      <alignment horizontal="right" wrapText="1"/>
    </xf>
    <xf numFmtId="9" fontId="48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vertical="center" wrapText="1"/>
    </xf>
    <xf numFmtId="0" fontId="70" fillId="0" borderId="0" xfId="9" applyFont="1"/>
    <xf numFmtId="0" fontId="60" fillId="0" borderId="0" xfId="9" applyFont="1"/>
    <xf numFmtId="43" fontId="60" fillId="0" borderId="0" xfId="9" applyNumberFormat="1" applyFont="1"/>
    <xf numFmtId="0" fontId="60" fillId="0" borderId="0" xfId="9" applyFont="1" applyAlignment="1">
      <alignment horizontal="left"/>
    </xf>
    <xf numFmtId="0" fontId="58" fillId="6" borderId="0" xfId="9" applyFont="1" applyFill="1" applyAlignment="1">
      <alignment horizontal="center" wrapText="1"/>
    </xf>
    <xf numFmtId="0" fontId="71" fillId="16" borderId="0" xfId="9" applyFont="1" applyFill="1" applyAlignment="1">
      <alignment horizontal="center" wrapText="1"/>
    </xf>
    <xf numFmtId="0" fontId="71" fillId="17" borderId="0" xfId="9" applyFont="1" applyFill="1" applyAlignment="1">
      <alignment horizontal="center"/>
    </xf>
    <xf numFmtId="0" fontId="71" fillId="0" borderId="0" xfId="9" applyFont="1" applyAlignment="1">
      <alignment horizontal="center"/>
    </xf>
    <xf numFmtId="164" fontId="60" fillId="6" borderId="0" xfId="9" applyNumberFormat="1" applyFont="1" applyFill="1"/>
    <xf numFmtId="0" fontId="60" fillId="16" borderId="0" xfId="9" applyFont="1" applyFill="1"/>
    <xf numFmtId="0" fontId="60" fillId="17" borderId="0" xfId="9" applyFont="1" applyFill="1"/>
    <xf numFmtId="168" fontId="60" fillId="6" borderId="0" xfId="10" applyNumberFormat="1" applyFont="1" applyFill="1" applyBorder="1" applyAlignment="1">
      <alignment horizontal="right"/>
    </xf>
    <xf numFmtId="168" fontId="60" fillId="16" borderId="0" xfId="10" applyNumberFormat="1" applyFont="1" applyFill="1" applyBorder="1" applyAlignment="1">
      <alignment wrapText="1"/>
    </xf>
    <xf numFmtId="168" fontId="60" fillId="0" borderId="0" xfId="9" applyNumberFormat="1" applyFont="1"/>
    <xf numFmtId="167" fontId="60" fillId="0" borderId="0" xfId="11" applyNumberFormat="1" applyFont="1"/>
    <xf numFmtId="43" fontId="60" fillId="0" borderId="0" xfId="11" applyFont="1"/>
    <xf numFmtId="167" fontId="60" fillId="6" borderId="0" xfId="11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wrapText="1"/>
    </xf>
    <xf numFmtId="167" fontId="60" fillId="17" borderId="0" xfId="11" applyNumberFormat="1" applyFont="1" applyFill="1"/>
    <xf numFmtId="167" fontId="60" fillId="6" borderId="0" xfId="11" applyNumberFormat="1" applyFont="1" applyFill="1" applyBorder="1" applyAlignment="1"/>
    <xf numFmtId="167" fontId="60" fillId="6" borderId="19" xfId="11" applyNumberFormat="1" applyFont="1" applyFill="1" applyBorder="1" applyAlignment="1"/>
    <xf numFmtId="167" fontId="60" fillId="16" borderId="19" xfId="11" applyNumberFormat="1" applyFont="1" applyFill="1" applyBorder="1" applyAlignment="1">
      <alignment wrapText="1"/>
    </xf>
    <xf numFmtId="167" fontId="60" fillId="17" borderId="19" xfId="11" applyNumberFormat="1" applyFont="1" applyFill="1" applyBorder="1"/>
    <xf numFmtId="167" fontId="60" fillId="0" borderId="19" xfId="11" applyNumberFormat="1" applyFont="1" applyBorder="1"/>
    <xf numFmtId="43" fontId="60" fillId="0" borderId="19" xfId="11" applyFont="1" applyBorder="1"/>
    <xf numFmtId="167" fontId="58" fillId="6" borderId="0" xfId="11" applyNumberFormat="1" applyFont="1" applyFill="1" applyBorder="1" applyAlignment="1">
      <alignment horizontal="right"/>
    </xf>
    <xf numFmtId="167" fontId="58" fillId="16" borderId="0" xfId="11" applyNumberFormat="1" applyFont="1" applyFill="1" applyBorder="1" applyAlignment="1">
      <alignment horizontal="right"/>
    </xf>
    <xf numFmtId="167" fontId="58" fillId="17" borderId="0" xfId="11" applyNumberFormat="1" applyFont="1" applyFill="1" applyBorder="1" applyAlignment="1">
      <alignment horizontal="right"/>
    </xf>
    <xf numFmtId="167" fontId="58" fillId="0" borderId="0" xfId="11" applyNumberFormat="1" applyFont="1" applyFill="1" applyBorder="1" applyAlignment="1">
      <alignment horizontal="right"/>
    </xf>
    <xf numFmtId="43" fontId="58" fillId="0" borderId="0" xfId="11" applyFont="1" applyFill="1" applyBorder="1" applyAlignment="1">
      <alignment horizontal="right"/>
    </xf>
    <xf numFmtId="167" fontId="60" fillId="16" borderId="0" xfId="11" applyNumberFormat="1" applyFont="1" applyFill="1" applyBorder="1"/>
    <xf numFmtId="167" fontId="60" fillId="0" borderId="0" xfId="9" applyNumberFormat="1" applyFont="1"/>
    <xf numFmtId="167" fontId="60" fillId="16" borderId="19" xfId="11" applyNumberFormat="1" applyFont="1" applyFill="1" applyBorder="1"/>
    <xf numFmtId="0" fontId="60" fillId="0" borderId="19" xfId="9" applyFont="1" applyBorder="1"/>
    <xf numFmtId="0" fontId="60" fillId="17" borderId="19" xfId="9" applyFont="1" applyFill="1" applyBorder="1"/>
    <xf numFmtId="167" fontId="60" fillId="16" borderId="0" xfId="11" applyNumberFormat="1" applyFont="1" applyFill="1" applyBorder="1" applyAlignment="1">
      <alignment horizontal="right"/>
    </xf>
    <xf numFmtId="167" fontId="60" fillId="17" borderId="0" xfId="11" applyNumberFormat="1" applyFont="1" applyFill="1" applyBorder="1" applyAlignment="1">
      <alignment horizontal="right"/>
    </xf>
    <xf numFmtId="167" fontId="60" fillId="0" borderId="0" xfId="11" applyNumberFormat="1" applyFont="1" applyFill="1" applyBorder="1" applyAlignment="1">
      <alignment horizontal="right"/>
    </xf>
    <xf numFmtId="43" fontId="60" fillId="0" borderId="0" xfId="11" applyFont="1" applyFill="1" applyBorder="1" applyAlignment="1">
      <alignment horizontal="right"/>
    </xf>
    <xf numFmtId="43" fontId="60" fillId="6" borderId="19" xfId="11" applyFont="1" applyFill="1" applyBorder="1" applyAlignment="1">
      <alignment horizontal="right"/>
    </xf>
    <xf numFmtId="43" fontId="60" fillId="16" borderId="19" xfId="11" applyFont="1" applyFill="1" applyBorder="1"/>
    <xf numFmtId="43" fontId="60" fillId="17" borderId="19" xfId="11" applyFont="1" applyFill="1" applyBorder="1"/>
    <xf numFmtId="43" fontId="60" fillId="0" borderId="19" xfId="9" applyNumberFormat="1" applyFont="1" applyBorder="1"/>
    <xf numFmtId="43" fontId="58" fillId="6" borderId="0" xfId="11" applyFont="1" applyFill="1" applyBorder="1" applyAlignment="1">
      <alignment horizontal="right"/>
    </xf>
    <xf numFmtId="43" fontId="58" fillId="16" borderId="0" xfId="11" applyFont="1" applyFill="1" applyBorder="1" applyAlignment="1">
      <alignment horizontal="right"/>
    </xf>
    <xf numFmtId="43" fontId="58" fillId="17" borderId="0" xfId="11" applyFont="1" applyFill="1" applyBorder="1" applyAlignment="1">
      <alignment horizontal="right"/>
    </xf>
    <xf numFmtId="167" fontId="58" fillId="6" borderId="1" xfId="11" applyNumberFormat="1" applyFont="1" applyFill="1" applyBorder="1" applyAlignment="1">
      <alignment horizontal="right"/>
    </xf>
    <xf numFmtId="167" fontId="58" fillId="16" borderId="1" xfId="11" applyNumberFormat="1" applyFont="1" applyFill="1" applyBorder="1" applyAlignment="1">
      <alignment horizontal="right"/>
    </xf>
    <xf numFmtId="167" fontId="58" fillId="17" borderId="1" xfId="11" applyNumberFormat="1" applyFont="1" applyFill="1" applyBorder="1" applyAlignment="1">
      <alignment horizontal="right"/>
    </xf>
    <xf numFmtId="167" fontId="58" fillId="0" borderId="1" xfId="11" applyNumberFormat="1" applyFont="1" applyFill="1" applyBorder="1" applyAlignment="1">
      <alignment horizontal="right"/>
    </xf>
    <xf numFmtId="168" fontId="58" fillId="6" borderId="0" xfId="10" applyNumberFormat="1" applyFont="1" applyFill="1" applyBorder="1" applyAlignment="1">
      <alignment horizontal="right"/>
    </xf>
    <xf numFmtId="168" fontId="58" fillId="16" borderId="0" xfId="10" applyNumberFormat="1" applyFont="1" applyFill="1" applyBorder="1" applyAlignment="1">
      <alignment horizontal="right"/>
    </xf>
    <xf numFmtId="168" fontId="58" fillId="17" borderId="0" xfId="10" applyNumberFormat="1" applyFont="1" applyFill="1" applyBorder="1" applyAlignment="1">
      <alignment horizontal="right"/>
    </xf>
    <xf numFmtId="168" fontId="58" fillId="0" borderId="0" xfId="10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horizontal="right" wrapText="1"/>
    </xf>
    <xf numFmtId="167" fontId="60" fillId="6" borderId="19" xfId="11" applyNumberFormat="1" applyFont="1" applyFill="1" applyBorder="1" applyAlignment="1">
      <alignment horizontal="right"/>
    </xf>
    <xf numFmtId="173" fontId="60" fillId="0" borderId="0" xfId="11" applyNumberFormat="1" applyFont="1"/>
    <xf numFmtId="173" fontId="60" fillId="0" borderId="19" xfId="11" applyNumberFormat="1" applyFont="1" applyBorder="1"/>
    <xf numFmtId="165" fontId="60" fillId="0" borderId="1" xfId="9" applyNumberFormat="1" applyFont="1" applyBorder="1" applyAlignment="1">
      <alignment horizontal="right"/>
    </xf>
    <xf numFmtId="6" fontId="58" fillId="6" borderId="0" xfId="10" applyNumberFormat="1" applyFont="1" applyFill="1" applyBorder="1" applyAlignment="1">
      <alignment horizontal="right"/>
    </xf>
    <xf numFmtId="6" fontId="58" fillId="16" borderId="0" xfId="10" applyNumberFormat="1" applyFont="1" applyFill="1" applyBorder="1" applyAlignment="1">
      <alignment horizontal="right"/>
    </xf>
    <xf numFmtId="6" fontId="58" fillId="17" borderId="0" xfId="10" applyNumberFormat="1" applyFont="1" applyFill="1" applyBorder="1" applyAlignment="1">
      <alignment horizontal="right"/>
    </xf>
    <xf numFmtId="6" fontId="58" fillId="0" borderId="0" xfId="10" applyNumberFormat="1" applyFont="1" applyFill="1" applyBorder="1" applyAlignment="1">
      <alignment horizontal="right"/>
    </xf>
    <xf numFmtId="0" fontId="72" fillId="0" borderId="0" xfId="9" applyFont="1"/>
    <xf numFmtId="0" fontId="73" fillId="0" borderId="0" xfId="9" applyFont="1"/>
    <xf numFmtId="0" fontId="74" fillId="0" borderId="0" xfId="9" applyFont="1" applyAlignment="1">
      <alignment horizontal="center"/>
    </xf>
    <xf numFmtId="0" fontId="74" fillId="0" borderId="0" xfId="9" applyFont="1" applyAlignment="1">
      <alignment horizontal="center" wrapText="1"/>
    </xf>
    <xf numFmtId="0" fontId="75" fillId="0" borderId="0" xfId="9" applyFont="1" applyAlignment="1">
      <alignment horizontal="center" wrapText="1"/>
    </xf>
    <xf numFmtId="14" fontId="73" fillId="0" borderId="0" xfId="9" applyNumberFormat="1" applyFont="1"/>
    <xf numFmtId="43" fontId="73" fillId="0" borderId="0" xfId="11" applyFont="1" applyFill="1"/>
    <xf numFmtId="43" fontId="73" fillId="0" borderId="0" xfId="11" applyFont="1"/>
    <xf numFmtId="0" fontId="73" fillId="0" borderId="0" xfId="9" applyFont="1" applyAlignment="1">
      <alignment wrapText="1"/>
    </xf>
    <xf numFmtId="43" fontId="73" fillId="0" borderId="0" xfId="11" applyFont="1" applyFill="1" applyBorder="1"/>
    <xf numFmtId="43" fontId="73" fillId="0" borderId="0" xfId="9" applyNumberFormat="1" applyFont="1"/>
    <xf numFmtId="43" fontId="73" fillId="0" borderId="0" xfId="11" applyFont="1" applyBorder="1"/>
    <xf numFmtId="43" fontId="73" fillId="0" borderId="19" xfId="11" applyFont="1" applyBorder="1"/>
    <xf numFmtId="168" fontId="75" fillId="0" borderId="0" xfId="10" applyNumberFormat="1" applyFont="1"/>
    <xf numFmtId="0" fontId="60" fillId="0" borderId="0" xfId="9" applyFont="1" applyAlignment="1">
      <alignment wrapText="1"/>
    </xf>
    <xf numFmtId="6" fontId="22" fillId="0" borderId="0" xfId="2" applyNumberFormat="1" applyFont="1" applyFill="1" applyBorder="1" applyAlignment="1"/>
    <xf numFmtId="9" fontId="66" fillId="0" borderId="0" xfId="6" applyFont="1"/>
    <xf numFmtId="0" fontId="76" fillId="0" borderId="0" xfId="0" applyFont="1" applyAlignment="1">
      <alignment horizontal="left" wrapText="1"/>
    </xf>
    <xf numFmtId="164" fontId="77" fillId="0" borderId="0" xfId="0" applyNumberFormat="1" applyFont="1" applyAlignment="1">
      <alignment wrapText="1"/>
    </xf>
    <xf numFmtId="164" fontId="77" fillId="0" borderId="0" xfId="0" applyNumberFormat="1" applyFont="1" applyAlignment="1">
      <alignment horizontal="right" wrapText="1"/>
    </xf>
    <xf numFmtId="165" fontId="76" fillId="0" borderId="1" xfId="0" applyNumberFormat="1" applyFont="1" applyBorder="1" applyAlignment="1">
      <alignment horizontal="right" wrapText="1"/>
    </xf>
    <xf numFmtId="0" fontId="80" fillId="0" borderId="19" xfId="0" applyFont="1" applyBorder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72" fontId="66" fillId="6" borderId="0" xfId="1" applyNumberFormat="1" applyFont="1" applyFill="1" applyBorder="1"/>
    <xf numFmtId="0" fontId="60" fillId="0" borderId="0" xfId="9" applyFont="1" applyBorder="1"/>
    <xf numFmtId="167" fontId="66" fillId="6" borderId="0" xfId="1" applyNumberFormat="1" applyFont="1" applyFill="1" applyBorder="1" applyAlignment="1">
      <alignment horizontal="right" wrapText="1"/>
    </xf>
    <xf numFmtId="43" fontId="60" fillId="0" borderId="0" xfId="1" applyFont="1" applyBorder="1"/>
    <xf numFmtId="0" fontId="60" fillId="16" borderId="0" xfId="9" applyFont="1" applyFill="1" applyBorder="1"/>
    <xf numFmtId="43" fontId="60" fillId="16" borderId="0" xfId="1" applyFont="1" applyFill="1" applyBorder="1"/>
    <xf numFmtId="0" fontId="60" fillId="18" borderId="0" xfId="9" applyFont="1" applyFill="1" applyBorder="1"/>
    <xf numFmtId="6" fontId="59" fillId="13" borderId="0" xfId="0" applyNumberFormat="1" applyFont="1" applyFill="1" applyBorder="1" applyAlignment="1">
      <alignment horizontal="right" wrapText="1"/>
    </xf>
    <xf numFmtId="0" fontId="59" fillId="13" borderId="0" xfId="0" applyFont="1" applyFill="1" applyBorder="1" applyAlignment="1">
      <alignment horizontal="right" wrapText="1"/>
    </xf>
    <xf numFmtId="43" fontId="60" fillId="18" borderId="0" xfId="1" applyFont="1" applyFill="1" applyBorder="1"/>
    <xf numFmtId="0" fontId="59" fillId="0" borderId="0" xfId="0" applyFont="1" applyBorder="1" applyAlignment="1">
      <alignment horizontal="left" wrapText="1"/>
    </xf>
    <xf numFmtId="172" fontId="44" fillId="16" borderId="29" xfId="1" applyNumberFormat="1" applyFont="1" applyFill="1" applyBorder="1"/>
    <xf numFmtId="167" fontId="44" fillId="16" borderId="29" xfId="1" applyNumberFormat="1" applyFont="1" applyFill="1" applyBorder="1" applyAlignment="1">
      <alignment horizontal="right" wrapText="1"/>
    </xf>
    <xf numFmtId="6" fontId="44" fillId="16" borderId="29" xfId="0" applyNumberFormat="1" applyFont="1" applyFill="1" applyBorder="1"/>
    <xf numFmtId="6" fontId="45" fillId="16" borderId="29" xfId="0" applyNumberFormat="1" applyFont="1" applyFill="1" applyBorder="1" applyAlignment="1">
      <alignment horizontal="right" wrapText="1"/>
    </xf>
    <xf numFmtId="167" fontId="45" fillId="6" borderId="29" xfId="0" applyNumberFormat="1" applyFont="1" applyFill="1" applyBorder="1" applyAlignment="1">
      <alignment horizontal="right" wrapText="1"/>
    </xf>
    <xf numFmtId="43" fontId="20" fillId="0" borderId="0" xfId="7" applyFont="1" applyFill="1" applyBorder="1" applyAlignment="1">
      <alignment horizontal="center" vertical="top"/>
    </xf>
    <xf numFmtId="43" fontId="20" fillId="0" borderId="0" xfId="7" applyFont="1" applyFill="1" applyBorder="1" applyAlignment="1">
      <alignment vertical="top" wrapText="1"/>
    </xf>
    <xf numFmtId="43" fontId="16" fillId="0" borderId="0" xfId="7" applyFont="1" applyFill="1" applyBorder="1" applyAlignment="1">
      <alignment horizontal="left" vertical="top" wrapText="1" indent="1"/>
    </xf>
    <xf numFmtId="41" fontId="16" fillId="0" borderId="22" xfId="3" applyNumberFormat="1" applyFont="1" applyBorder="1" applyAlignment="1">
      <alignment horizontal="center" vertical="top"/>
    </xf>
    <xf numFmtId="41" fontId="16" fillId="0" borderId="20" xfId="3" applyNumberFormat="1" applyFont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41" fontId="20" fillId="6" borderId="45" xfId="7" applyNumberFormat="1" applyFont="1" applyFill="1" applyBorder="1" applyAlignment="1">
      <alignment horizontal="center" vertical="top"/>
    </xf>
    <xf numFmtId="41" fontId="16" fillId="6" borderId="3" xfId="3" applyNumberFormat="1" applyFont="1" applyFill="1" applyBorder="1" applyAlignment="1">
      <alignment horizontal="center" vertical="top"/>
    </xf>
    <xf numFmtId="41" fontId="20" fillId="6" borderId="46" xfId="7" applyNumberFormat="1" applyFont="1" applyFill="1" applyBorder="1" applyAlignment="1">
      <alignment vertical="top"/>
    </xf>
    <xf numFmtId="41" fontId="16" fillId="6" borderId="3" xfId="7" applyNumberFormat="1" applyFont="1" applyFill="1" applyBorder="1" applyAlignment="1">
      <alignment vertical="top"/>
    </xf>
    <xf numFmtId="41" fontId="20" fillId="6" borderId="20" xfId="3" applyNumberFormat="1" applyFont="1" applyFill="1" applyBorder="1" applyAlignment="1">
      <alignment horizontal="center" vertical="top"/>
    </xf>
    <xf numFmtId="41" fontId="16" fillId="6" borderId="3" xfId="7" applyNumberFormat="1" applyFont="1" applyFill="1" applyBorder="1" applyAlignment="1">
      <alignment horizontal="center" vertical="top"/>
    </xf>
    <xf numFmtId="41" fontId="20" fillId="6" borderId="11" xfId="3" applyNumberFormat="1" applyFont="1" applyFill="1" applyBorder="1" applyAlignment="1">
      <alignment horizontal="center" vertical="top"/>
    </xf>
    <xf numFmtId="43" fontId="20" fillId="8" borderId="47" xfId="7" applyFont="1" applyFill="1" applyBorder="1" applyAlignment="1">
      <alignment horizontal="center" vertical="top"/>
    </xf>
    <xf numFmtId="41" fontId="20" fillId="6" borderId="48" xfId="7" applyNumberFormat="1" applyFont="1" applyFill="1" applyBorder="1" applyAlignment="1">
      <alignment horizontal="center" vertical="top"/>
    </xf>
    <xf numFmtId="41" fontId="16" fillId="6" borderId="40" xfId="3" applyNumberFormat="1" applyFont="1" applyFill="1" applyBorder="1" applyAlignment="1">
      <alignment horizontal="center" vertical="top"/>
    </xf>
    <xf numFmtId="41" fontId="20" fillId="6" borderId="39" xfId="7" applyNumberFormat="1" applyFont="1" applyFill="1" applyBorder="1" applyAlignment="1">
      <alignment vertical="top"/>
    </xf>
    <xf numFmtId="41" fontId="16" fillId="6" borderId="40" xfId="7" applyNumberFormat="1" applyFont="1" applyFill="1" applyBorder="1" applyAlignment="1">
      <alignment vertical="top"/>
    </xf>
    <xf numFmtId="41" fontId="20" fillId="6" borderId="29" xfId="3" applyNumberFormat="1" applyFont="1" applyFill="1" applyBorder="1" applyAlignment="1">
      <alignment horizontal="center" vertical="top"/>
    </xf>
    <xf numFmtId="41" fontId="16" fillId="0" borderId="29" xfId="3" applyNumberFormat="1" applyFont="1" applyBorder="1" applyAlignment="1">
      <alignment horizontal="center" vertical="top"/>
    </xf>
    <xf numFmtId="41" fontId="16" fillId="6" borderId="40" xfId="7" applyNumberFormat="1" applyFont="1" applyFill="1" applyBorder="1" applyAlignment="1">
      <alignment horizontal="center" vertical="top"/>
    </xf>
    <xf numFmtId="41" fontId="20" fillId="6" borderId="49" xfId="3" applyNumberFormat="1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1" fontId="20" fillId="6" borderId="50" xfId="7" applyNumberFormat="1" applyFont="1" applyFill="1" applyBorder="1" applyAlignment="1">
      <alignment horizontal="center" vertical="top"/>
    </xf>
    <xf numFmtId="41" fontId="16" fillId="6" borderId="0" xfId="3" applyNumberFormat="1" applyFont="1" applyFill="1" applyBorder="1" applyAlignment="1">
      <alignment horizontal="center" vertical="top"/>
    </xf>
    <xf numFmtId="41" fontId="20" fillId="6" borderId="1" xfId="7" applyNumberFormat="1" applyFont="1" applyFill="1" applyBorder="1" applyAlignment="1">
      <alignment vertical="top"/>
    </xf>
    <xf numFmtId="41" fontId="16" fillId="6" borderId="0" xfId="7" applyNumberFormat="1" applyFont="1" applyFill="1" applyBorder="1" applyAlignment="1">
      <alignment vertical="top"/>
    </xf>
    <xf numFmtId="41" fontId="20" fillId="6" borderId="22" xfId="3" applyNumberFormat="1" applyFont="1" applyFill="1" applyBorder="1" applyAlignment="1">
      <alignment horizontal="center" vertical="top"/>
    </xf>
    <xf numFmtId="41" fontId="16" fillId="6" borderId="0" xfId="7" applyNumberFormat="1" applyFont="1" applyFill="1" applyBorder="1" applyAlignment="1">
      <alignment horizontal="center" vertical="top"/>
    </xf>
    <xf numFmtId="41" fontId="20" fillId="6" borderId="10" xfId="3" applyNumberFormat="1" applyFont="1" applyFill="1" applyBorder="1" applyAlignment="1">
      <alignment horizontal="center" vertical="top"/>
    </xf>
    <xf numFmtId="0" fontId="0" fillId="0" borderId="0" xfId="0"/>
    <xf numFmtId="9" fontId="66" fillId="11" borderId="33" xfId="6" applyFont="1" applyFill="1" applyBorder="1" applyAlignment="1">
      <alignment horizontal="center" wrapText="1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right" wrapText="1"/>
    </xf>
    <xf numFmtId="6" fontId="58" fillId="17" borderId="0" xfId="2" applyNumberFormat="1" applyFont="1" applyFill="1" applyBorder="1" applyAlignment="1">
      <alignment horizontal="right"/>
    </xf>
    <xf numFmtId="167" fontId="59" fillId="13" borderId="0" xfId="0" applyNumberFormat="1" applyFont="1" applyFill="1" applyBorder="1" applyAlignment="1">
      <alignment horizontal="right" wrapText="1"/>
    </xf>
    <xf numFmtId="0" fontId="60" fillId="11" borderId="0" xfId="9" applyFont="1" applyFill="1"/>
    <xf numFmtId="0" fontId="0" fillId="0" borderId="0" xfId="0"/>
    <xf numFmtId="0" fontId="60" fillId="11" borderId="0" xfId="9" applyFont="1" applyFill="1" applyAlignment="1">
      <alignment horizontal="left"/>
    </xf>
    <xf numFmtId="167" fontId="60" fillId="11" borderId="0" xfId="11" applyNumberFormat="1" applyFont="1" applyFill="1" applyBorder="1" applyAlignment="1"/>
    <xf numFmtId="167" fontId="60" fillId="11" borderId="0" xfId="11" applyNumberFormat="1" applyFont="1" applyFill="1"/>
    <xf numFmtId="167" fontId="45" fillId="6" borderId="29" xfId="1" applyNumberFormat="1" applyFont="1" applyFill="1" applyBorder="1" applyAlignment="1" applyProtection="1">
      <alignment horizontal="center" vertical="center" wrapText="1"/>
      <protection locked="0"/>
    </xf>
    <xf numFmtId="2" fontId="45" fillId="6" borderId="29" xfId="0" applyNumberFormat="1" applyFont="1" applyFill="1" applyBorder="1" applyAlignment="1" applyProtection="1">
      <alignment horizontal="center" vertical="center" wrapText="1"/>
      <protection locked="0"/>
    </xf>
    <xf numFmtId="167" fontId="60" fillId="11" borderId="0" xfId="11" applyNumberFormat="1" applyFont="1" applyFill="1" applyBorder="1" applyAlignment="1">
      <alignment wrapText="1"/>
    </xf>
    <xf numFmtId="43" fontId="60" fillId="11" borderId="0" xfId="11" applyFont="1" applyFill="1"/>
    <xf numFmtId="43" fontId="60" fillId="0" borderId="0" xfId="1" applyFont="1"/>
    <xf numFmtId="0" fontId="83" fillId="0" borderId="19" xfId="0" applyFont="1" applyBorder="1" applyAlignment="1">
      <alignment horizontal="center" wrapText="1"/>
    </xf>
    <xf numFmtId="164" fontId="4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0" fontId="60" fillId="0" borderId="0" xfId="9" applyFont="1" applyFill="1" applyAlignment="1">
      <alignment horizontal="left"/>
    </xf>
    <xf numFmtId="167" fontId="60" fillId="0" borderId="0" xfId="11" applyNumberFormat="1" applyFont="1" applyFill="1"/>
    <xf numFmtId="0" fontId="60" fillId="0" borderId="0" xfId="9" applyFont="1" applyFill="1"/>
    <xf numFmtId="6" fontId="60" fillId="0" borderId="0" xfId="9" applyNumberFormat="1" applyFont="1"/>
    <xf numFmtId="9" fontId="0" fillId="0" borderId="0" xfId="6" applyFont="1"/>
    <xf numFmtId="0" fontId="59" fillId="11" borderId="32" xfId="0" applyFont="1" applyFill="1" applyBorder="1" applyAlignment="1">
      <alignment horizontal="left" wrapText="1"/>
    </xf>
    <xf numFmtId="0" fontId="58" fillId="11" borderId="0" xfId="0" applyFont="1" applyFill="1" applyBorder="1" applyAlignment="1">
      <alignment horizontal="left" wrapText="1"/>
    </xf>
    <xf numFmtId="167" fontId="66" fillId="11" borderId="0" xfId="1" applyNumberFormat="1" applyFont="1" applyFill="1" applyBorder="1" applyAlignment="1">
      <alignment horizontal="right" wrapText="1"/>
    </xf>
    <xf numFmtId="167" fontId="58" fillId="11" borderId="0" xfId="1" applyNumberFormat="1" applyFont="1" applyFill="1" applyBorder="1" applyAlignment="1">
      <alignment horizontal="left" wrapText="1"/>
    </xf>
    <xf numFmtId="167" fontId="84" fillId="0" borderId="0" xfId="11" applyNumberFormat="1" applyFont="1"/>
    <xf numFmtId="0" fontId="58" fillId="11" borderId="0" xfId="9" applyFont="1" applyFill="1"/>
    <xf numFmtId="0" fontId="58" fillId="19" borderId="0" xfId="9" applyFont="1" applyFill="1"/>
    <xf numFmtId="167" fontId="60" fillId="11" borderId="19" xfId="11" applyNumberFormat="1" applyFont="1" applyFill="1" applyBorder="1" applyAlignment="1">
      <alignment horizontal="right"/>
    </xf>
    <xf numFmtId="167" fontId="60" fillId="11" borderId="19" xfId="11" applyNumberFormat="1" applyFont="1" applyFill="1" applyBorder="1" applyAlignment="1">
      <alignment horizontal="right" wrapText="1"/>
    </xf>
    <xf numFmtId="167" fontId="60" fillId="11" borderId="19" xfId="11" applyNumberFormat="1" applyFont="1" applyFill="1" applyBorder="1"/>
    <xf numFmtId="167" fontId="85" fillId="11" borderId="19" xfId="11" applyNumberFormat="1" applyFont="1" applyFill="1" applyBorder="1"/>
    <xf numFmtId="167" fontId="60" fillId="11" borderId="0" xfId="11" applyNumberFormat="1" applyFont="1" applyFill="1" applyBorder="1" applyAlignment="1">
      <alignment horizontal="right"/>
    </xf>
    <xf numFmtId="0" fontId="0" fillId="20" borderId="0" xfId="0" applyFill="1"/>
    <xf numFmtId="0" fontId="0" fillId="21" borderId="0" xfId="0" applyFill="1" applyAlignment="1">
      <alignment wrapText="1"/>
    </xf>
    <xf numFmtId="0" fontId="86" fillId="0" borderId="0" xfId="0" applyFont="1" applyAlignment="1">
      <alignment horizontal="center" wrapText="1"/>
    </xf>
    <xf numFmtId="0" fontId="28" fillId="5" borderId="6" xfId="5" applyFont="1" applyFill="1" applyBorder="1" applyAlignment="1" applyProtection="1">
      <alignment horizontal="center" vertical="center"/>
    </xf>
    <xf numFmtId="0" fontId="28" fillId="5" borderId="7" xfId="5" applyFont="1" applyFill="1" applyBorder="1" applyAlignment="1" applyProtection="1">
      <alignment horizontal="center" vertical="center"/>
    </xf>
    <xf numFmtId="0" fontId="28" fillId="5" borderId="8" xfId="5" applyFont="1" applyFill="1" applyBorder="1" applyAlignment="1" applyProtection="1">
      <alignment horizontal="center" vertical="center"/>
    </xf>
    <xf numFmtId="0" fontId="31" fillId="5" borderId="2" xfId="5" applyFont="1" applyFill="1" applyBorder="1" applyAlignment="1" applyProtection="1">
      <alignment horizontal="center" vertical="center"/>
    </xf>
    <xf numFmtId="0" fontId="31" fillId="5" borderId="0" xfId="5" applyFont="1" applyFill="1" applyBorder="1" applyAlignment="1" applyProtection="1">
      <alignment horizontal="center" vertical="center"/>
    </xf>
    <xf numFmtId="0" fontId="31" fillId="5" borderId="3" xfId="5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21" xfId="0" applyFont="1" applyFill="1" applyBorder="1" applyAlignment="1">
      <alignment horizontal="center" vertical="center" textRotation="90"/>
    </xf>
    <xf numFmtId="166" fontId="19" fillId="5" borderId="10" xfId="0" applyNumberFormat="1" applyFont="1" applyFill="1" applyBorder="1" applyAlignment="1">
      <alignment horizontal="center" vertical="center"/>
    </xf>
    <xf numFmtId="0" fontId="53" fillId="5" borderId="30" xfId="5" applyFont="1" applyFill="1" applyBorder="1" applyAlignment="1" applyProtection="1">
      <alignment horizontal="center" vertical="center"/>
    </xf>
    <xf numFmtId="0" fontId="53" fillId="5" borderId="1" xfId="5" applyFont="1" applyFill="1" applyBorder="1" applyAlignment="1" applyProtection="1">
      <alignment horizontal="center" vertical="center"/>
    </xf>
    <xf numFmtId="0" fontId="53" fillId="5" borderId="31" xfId="5" applyFont="1" applyFill="1" applyBorder="1" applyAlignment="1" applyProtection="1">
      <alignment horizontal="center" vertical="center"/>
    </xf>
    <xf numFmtId="0" fontId="69" fillId="5" borderId="32" xfId="5" applyFont="1" applyFill="1" applyBorder="1" applyAlignment="1" applyProtection="1">
      <alignment horizontal="center" vertical="center"/>
    </xf>
    <xf numFmtId="0" fontId="69" fillId="5" borderId="0" xfId="5" applyFont="1" applyFill="1" applyBorder="1" applyAlignment="1" applyProtection="1">
      <alignment horizontal="center" vertical="center"/>
    </xf>
    <xf numFmtId="0" fontId="69" fillId="5" borderId="33" xfId="5" applyFont="1" applyFill="1" applyBorder="1" applyAlignment="1" applyProtection="1">
      <alignment horizontal="center" vertical="center"/>
    </xf>
    <xf numFmtId="166" fontId="56" fillId="5" borderId="32" xfId="5" applyNumberFormat="1" applyFont="1" applyFill="1" applyBorder="1" applyAlignment="1" applyProtection="1">
      <alignment horizontal="center" vertical="center"/>
    </xf>
    <xf numFmtId="166" fontId="56" fillId="5" borderId="0" xfId="5" applyNumberFormat="1" applyFont="1" applyFill="1" applyBorder="1" applyAlignment="1" applyProtection="1">
      <alignment horizontal="center" vertical="center"/>
    </xf>
    <xf numFmtId="166" fontId="56" fillId="5" borderId="33" xfId="5" applyNumberFormat="1" applyFont="1" applyFill="1" applyBorder="1" applyAlignment="1" applyProtection="1">
      <alignment horizontal="center" vertical="center"/>
    </xf>
    <xf numFmtId="0" fontId="78" fillId="0" borderId="0" xfId="0" applyFont="1" applyAlignment="1">
      <alignment horizontal="center"/>
    </xf>
    <xf numFmtId="0" fontId="0" fillId="0" borderId="0" xfId="0"/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66" fontId="58" fillId="7" borderId="19" xfId="3" applyNumberFormat="1" applyFont="1" applyFill="1" applyBorder="1" applyAlignment="1">
      <alignment horizontal="center" wrapText="1"/>
    </xf>
    <xf numFmtId="38" fontId="58" fillId="7" borderId="19" xfId="0" applyNumberFormat="1" applyFont="1" applyFill="1" applyBorder="1" applyAlignment="1" applyProtection="1">
      <alignment horizontal="center" wrapText="1"/>
    </xf>
    <xf numFmtId="38" fontId="58" fillId="7" borderId="37" xfId="0" applyNumberFormat="1" applyFont="1" applyFill="1" applyBorder="1" applyAlignment="1" applyProtection="1">
      <alignment horizontal="center" wrapText="1"/>
    </xf>
    <xf numFmtId="43" fontId="63" fillId="5" borderId="30" xfId="1" applyFont="1" applyFill="1" applyBorder="1" applyAlignment="1" applyProtection="1">
      <alignment horizontal="center" vertical="top"/>
    </xf>
    <xf numFmtId="43" fontId="63" fillId="5" borderId="1" xfId="1" applyFont="1" applyFill="1" applyBorder="1" applyAlignment="1" applyProtection="1">
      <alignment horizontal="center" vertical="top"/>
    </xf>
    <xf numFmtId="43" fontId="63" fillId="5" borderId="31" xfId="1" applyFont="1" applyFill="1" applyBorder="1" applyAlignment="1" applyProtection="1">
      <alignment horizontal="center" vertical="top"/>
    </xf>
    <xf numFmtId="43" fontId="53" fillId="5" borderId="32" xfId="1" applyFont="1" applyFill="1" applyBorder="1" applyAlignment="1" applyProtection="1">
      <alignment horizontal="center" vertical="top"/>
    </xf>
    <xf numFmtId="43" fontId="53" fillId="5" borderId="0" xfId="1" applyFont="1" applyFill="1" applyBorder="1" applyAlignment="1" applyProtection="1">
      <alignment horizontal="center" vertical="top"/>
    </xf>
    <xf numFmtId="43" fontId="53" fillId="5" borderId="33" xfId="1" applyFont="1" applyFill="1" applyBorder="1" applyAlignment="1" applyProtection="1">
      <alignment horizontal="center" vertical="top"/>
    </xf>
    <xf numFmtId="14" fontId="29" fillId="5" borderId="6" xfId="1" applyNumberFormat="1" applyFont="1" applyFill="1" applyBorder="1" applyAlignment="1" applyProtection="1">
      <alignment horizontal="center" vertical="top"/>
    </xf>
    <xf numFmtId="14" fontId="29" fillId="5" borderId="7" xfId="1" applyNumberFormat="1" applyFont="1" applyFill="1" applyBorder="1" applyAlignment="1" applyProtection="1">
      <alignment horizontal="center" vertical="top"/>
    </xf>
    <xf numFmtId="14" fontId="29" fillId="5" borderId="8" xfId="1" applyNumberFormat="1" applyFont="1" applyFill="1" applyBorder="1" applyAlignment="1" applyProtection="1">
      <alignment horizontal="center" vertical="top"/>
    </xf>
    <xf numFmtId="14" fontId="68" fillId="5" borderId="2" xfId="1" applyNumberFormat="1" applyFont="1" applyFill="1" applyBorder="1" applyAlignment="1" applyProtection="1">
      <alignment horizontal="center" vertical="top"/>
    </xf>
    <xf numFmtId="14" fontId="68" fillId="5" borderId="0" xfId="1" applyNumberFormat="1" applyFont="1" applyFill="1" applyBorder="1" applyAlignment="1" applyProtection="1">
      <alignment horizontal="center" vertical="top"/>
    </xf>
    <xf numFmtId="14" fontId="68" fillId="5" borderId="3" xfId="1" applyNumberFormat="1" applyFont="1" applyFill="1" applyBorder="1" applyAlignment="1" applyProtection="1">
      <alignment horizontal="center" vertical="top"/>
    </xf>
    <xf numFmtId="41" fontId="39" fillId="10" borderId="34" xfId="0" applyNumberFormat="1" applyFont="1" applyFill="1" applyBorder="1" applyAlignment="1" applyProtection="1">
      <alignment horizontal="center" vertical="center"/>
      <protection locked="0"/>
    </xf>
    <xf numFmtId="0" fontId="25" fillId="11" borderId="35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166" fontId="26" fillId="5" borderId="9" xfId="1" applyNumberFormat="1" applyFont="1" applyFill="1" applyBorder="1" applyAlignment="1" applyProtection="1">
      <alignment horizontal="center" vertical="top"/>
    </xf>
    <xf numFmtId="166" fontId="26" fillId="5" borderId="10" xfId="1" applyNumberFormat="1" applyFont="1" applyFill="1" applyBorder="1" applyAlignment="1" applyProtection="1">
      <alignment horizontal="center" vertical="top"/>
    </xf>
    <xf numFmtId="166" fontId="26" fillId="5" borderId="11" xfId="1" applyNumberFormat="1" applyFont="1" applyFill="1" applyBorder="1" applyAlignment="1" applyProtection="1">
      <alignment horizontal="center" vertical="top"/>
    </xf>
    <xf numFmtId="0" fontId="58" fillId="0" borderId="19" xfId="9" applyFont="1" applyBorder="1" applyAlignment="1">
      <alignment horizontal="center"/>
    </xf>
    <xf numFmtId="43" fontId="20" fillId="8" borderId="6" xfId="7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167" fontId="20" fillId="6" borderId="42" xfId="1" applyNumberFormat="1" applyFont="1" applyFill="1" applyBorder="1" applyAlignment="1">
      <alignment horizontal="left" vertical="top" wrapText="1"/>
    </xf>
    <xf numFmtId="167" fontId="20" fillId="6" borderId="19" xfId="1" applyNumberFormat="1" applyFont="1" applyFill="1" applyBorder="1" applyAlignment="1">
      <alignment horizontal="left" vertical="top" wrapText="1"/>
    </xf>
    <xf numFmtId="167" fontId="20" fillId="6" borderId="43" xfId="1" applyNumberFormat="1" applyFont="1" applyFill="1" applyBorder="1" applyAlignment="1">
      <alignment horizontal="left" vertical="top" wrapText="1"/>
    </xf>
    <xf numFmtId="167" fontId="16" fillId="6" borderId="2" xfId="1" applyNumberFormat="1" applyFont="1" applyFill="1" applyBorder="1" applyAlignment="1">
      <alignment horizontal="left" vertical="top" wrapText="1"/>
    </xf>
    <xf numFmtId="167" fontId="16" fillId="6" borderId="0" xfId="1" applyNumberFormat="1" applyFont="1" applyFill="1" applyBorder="1" applyAlignment="1">
      <alignment horizontal="left" vertical="top" wrapText="1"/>
    </xf>
    <xf numFmtId="167" fontId="16" fillId="6" borderId="3" xfId="1" applyNumberFormat="1" applyFont="1" applyFill="1" applyBorder="1" applyAlignment="1">
      <alignment horizontal="left" vertical="top" wrapText="1"/>
    </xf>
    <xf numFmtId="167" fontId="16" fillId="6" borderId="42" xfId="1" applyNumberFormat="1" applyFont="1" applyFill="1" applyBorder="1" applyAlignment="1">
      <alignment horizontal="left" vertical="top" wrapText="1"/>
    </xf>
    <xf numFmtId="167" fontId="16" fillId="6" borderId="19" xfId="1" applyNumberFormat="1" applyFont="1" applyFill="1" applyBorder="1" applyAlignment="1">
      <alignment horizontal="left" vertical="top" wrapText="1"/>
    </xf>
    <xf numFmtId="167" fontId="16" fillId="6" borderId="43" xfId="1" applyNumberFormat="1" applyFont="1" applyFill="1" applyBorder="1" applyAlignment="1">
      <alignment horizontal="left" vertical="top" wrapText="1"/>
    </xf>
    <xf numFmtId="167" fontId="20" fillId="6" borderId="2" xfId="1" applyNumberFormat="1" applyFont="1" applyFill="1" applyBorder="1" applyAlignment="1">
      <alignment horizontal="left" vertical="top" wrapText="1"/>
    </xf>
    <xf numFmtId="167" fontId="20" fillId="6" borderId="0" xfId="1" applyNumberFormat="1" applyFont="1" applyFill="1" applyBorder="1" applyAlignment="1">
      <alignment horizontal="left" vertical="top" wrapText="1"/>
    </xf>
    <xf numFmtId="167" fontId="20" fillId="6" borderId="3" xfId="1" applyNumberFormat="1" applyFont="1" applyFill="1" applyBorder="1" applyAlignment="1">
      <alignment horizontal="left" vertical="top" wrapText="1"/>
    </xf>
    <xf numFmtId="167" fontId="20" fillId="6" borderId="44" xfId="1" applyNumberFormat="1" applyFont="1" applyFill="1" applyBorder="1" applyAlignment="1">
      <alignment horizontal="left" vertical="top" wrapText="1"/>
    </xf>
    <xf numFmtId="167" fontId="20" fillId="6" borderId="22" xfId="1" applyNumberFormat="1" applyFont="1" applyFill="1" applyBorder="1" applyAlignment="1">
      <alignment horizontal="left" vertical="top" wrapText="1"/>
    </xf>
    <xf numFmtId="167" fontId="20" fillId="6" borderId="20" xfId="1" applyNumberFormat="1" applyFont="1" applyFill="1" applyBorder="1" applyAlignment="1">
      <alignment horizontal="left" vertical="top" wrapText="1"/>
    </xf>
    <xf numFmtId="167" fontId="20" fillId="0" borderId="44" xfId="1" applyNumberFormat="1" applyFont="1" applyFill="1" applyBorder="1" applyAlignment="1">
      <alignment horizontal="center" vertical="top" wrapText="1"/>
    </xf>
    <xf numFmtId="167" fontId="20" fillId="0" borderId="22" xfId="1" applyNumberFormat="1" applyFont="1" applyFill="1" applyBorder="1" applyAlignment="1">
      <alignment horizontal="center" vertical="top" wrapText="1"/>
    </xf>
    <xf numFmtId="167" fontId="20" fillId="0" borderId="20" xfId="1" applyNumberFormat="1" applyFont="1" applyFill="1" applyBorder="1" applyAlignment="1">
      <alignment horizontal="center" vertical="top" wrapText="1"/>
    </xf>
    <xf numFmtId="167" fontId="20" fillId="6" borderId="9" xfId="1" applyNumberFormat="1" applyFont="1" applyFill="1" applyBorder="1" applyAlignment="1">
      <alignment horizontal="left" vertical="top" wrapText="1"/>
    </xf>
    <xf numFmtId="167" fontId="20" fillId="6" borderId="10" xfId="1" applyNumberFormat="1" applyFont="1" applyFill="1" applyBorder="1" applyAlignment="1">
      <alignment horizontal="left" vertical="top" wrapText="1"/>
    </xf>
    <xf numFmtId="167" fontId="20" fillId="6" borderId="11" xfId="1" applyNumberFormat="1" applyFont="1" applyFill="1" applyBorder="1" applyAlignment="1">
      <alignment horizontal="left" vertical="top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11" fillId="7" borderId="13" xfId="1" applyNumberFormat="1" applyFont="1" applyFill="1" applyBorder="1" applyAlignment="1" applyProtection="1">
      <alignment horizontal="center"/>
    </xf>
    <xf numFmtId="166" fontId="11" fillId="7" borderId="14" xfId="1" applyNumberFormat="1" applyFont="1" applyFill="1" applyBorder="1" applyAlignment="1" applyProtection="1">
      <alignment horizontal="center"/>
    </xf>
    <xf numFmtId="14" fontId="30" fillId="5" borderId="2" xfId="1" applyNumberFormat="1" applyFont="1" applyFill="1" applyBorder="1" applyAlignment="1" applyProtection="1">
      <alignment horizontal="center" vertical="top"/>
    </xf>
    <xf numFmtId="14" fontId="30" fillId="5" borderId="0" xfId="1" applyNumberFormat="1" applyFont="1" applyFill="1" applyBorder="1" applyAlignment="1" applyProtection="1">
      <alignment horizontal="center" vertical="top"/>
    </xf>
    <xf numFmtId="14" fontId="30" fillId="5" borderId="3" xfId="1" applyNumberFormat="1" applyFont="1" applyFill="1" applyBorder="1" applyAlignment="1" applyProtection="1">
      <alignment horizontal="center" vertical="top"/>
    </xf>
    <xf numFmtId="0" fontId="25" fillId="0" borderId="0" xfId="0" applyFont="1" applyAlignment="1">
      <alignment horizontal="center"/>
    </xf>
  </cellXfs>
  <cellStyles count="12">
    <cellStyle name="Comma" xfId="1" builtinId="3"/>
    <cellStyle name="Comma 2" xfId="11" xr:uid="{00000000-0005-0000-0000-000001000000}"/>
    <cellStyle name="Comma 2 2" xfId="7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10" xfId="5" xr:uid="{00000000-0005-0000-0000-000006000000}"/>
    <cellStyle name="Normal 2" xfId="3" xr:uid="{00000000-0005-0000-0000-000007000000}"/>
    <cellStyle name="Normal 223" xfId="4" xr:uid="{00000000-0005-0000-0000-000008000000}"/>
    <cellStyle name="Normal 3" xfId="9" xr:uid="{00000000-0005-0000-0000-000009000000}"/>
    <cellStyle name="Normal 3 2 2 3" xfId="8" xr:uid="{00000000-0005-0000-0000-00000A000000}"/>
    <cellStyle name="Percent" xfId="6" builtinId="5"/>
  </cellStyles>
  <dxfs count="4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3</xdr:row>
      <xdr:rowOff>137172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ki Williams" id="{A06FB339-CC91-9E40-8A32-25FE2D84AD66}" userId="bc717f16fc5fc8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0" dT="2019-07-24T04:44:45.27" personId="{A06FB339-CC91-9E40-8A32-25FE2D84AD66}" id="{DB108D79-3778-904E-AF48-39364FBA7C0C}">
    <text>includes $2874 misclassified items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D41"/>
  <sheetViews>
    <sheetView zoomScale="80" zoomScaleNormal="80" workbookViewId="0">
      <selection activeCell="D37" sqref="D37"/>
    </sheetView>
  </sheetViews>
  <sheetFormatPr defaultColWidth="8.81640625" defaultRowHeight="14.75" x14ac:dyDescent="0.75"/>
  <cols>
    <col min="1" max="1" width="5.1796875" style="48" customWidth="1"/>
    <col min="2" max="2" width="63.5" style="48" bestFit="1" customWidth="1"/>
    <col min="3" max="3" width="11" style="48" bestFit="1" customWidth="1"/>
    <col min="4" max="4" width="67.5" style="49" bestFit="1" customWidth="1"/>
  </cols>
  <sheetData>
    <row r="1" spans="1:4" ht="32.25" customHeight="1" x14ac:dyDescent="0.75">
      <c r="A1" s="727" t="s">
        <v>104</v>
      </c>
      <c r="B1" s="728"/>
      <c r="C1" s="728"/>
      <c r="D1" s="729"/>
    </row>
    <row r="2" spans="1:4" ht="42" customHeight="1" x14ac:dyDescent="0.75">
      <c r="A2" s="730" t="s">
        <v>60</v>
      </c>
      <c r="B2" s="731"/>
      <c r="C2" s="731"/>
      <c r="D2" s="732"/>
    </row>
    <row r="3" spans="1:4" ht="27.75" customHeight="1" thickBot="1" x14ac:dyDescent="0.9">
      <c r="A3" s="129"/>
      <c r="B3" s="739">
        <v>43890</v>
      </c>
      <c r="C3" s="739"/>
      <c r="D3" s="130" t="s">
        <v>61</v>
      </c>
    </row>
    <row r="4" spans="1:4" x14ac:dyDescent="0.75">
      <c r="A4" s="733" t="s">
        <v>39</v>
      </c>
      <c r="B4" s="121"/>
      <c r="C4" s="38"/>
      <c r="D4" s="70"/>
    </row>
    <row r="5" spans="1:4" x14ac:dyDescent="0.75">
      <c r="A5" s="734"/>
      <c r="B5" s="122" t="s">
        <v>40</v>
      </c>
      <c r="C5" s="40"/>
      <c r="D5" s="41"/>
    </row>
    <row r="6" spans="1:4" x14ac:dyDescent="0.75">
      <c r="A6" s="734"/>
      <c r="B6" s="123" t="s">
        <v>41</v>
      </c>
      <c r="C6" s="533">
        <f>'Balance Sheet'!B12</f>
        <v>1038317.1499999999</v>
      </c>
      <c r="D6" s="42"/>
    </row>
    <row r="7" spans="1:4" x14ac:dyDescent="0.75">
      <c r="A7" s="734"/>
      <c r="B7" s="123" t="s">
        <v>42</v>
      </c>
      <c r="C7" s="533">
        <f>'Balance Sheet'!B26</f>
        <v>548483.42000000004</v>
      </c>
      <c r="D7" s="42"/>
    </row>
    <row r="8" spans="1:4" x14ac:dyDescent="0.75">
      <c r="A8" s="734"/>
      <c r="B8" s="124" t="s">
        <v>43</v>
      </c>
      <c r="C8" s="63">
        <f>IFERROR(C6/C7,"")</f>
        <v>1.8930693474745324</v>
      </c>
      <c r="D8" s="71" t="s">
        <v>44</v>
      </c>
    </row>
    <row r="9" spans="1:4" x14ac:dyDescent="0.75">
      <c r="A9" s="734"/>
      <c r="B9" s="125"/>
      <c r="C9" s="40"/>
      <c r="D9" s="42"/>
    </row>
    <row r="10" spans="1:4" x14ac:dyDescent="0.75">
      <c r="A10" s="734"/>
      <c r="B10" s="122" t="s">
        <v>45</v>
      </c>
      <c r="C10" s="40"/>
      <c r="D10" s="42"/>
    </row>
    <row r="11" spans="1:4" x14ac:dyDescent="0.75">
      <c r="A11" s="734"/>
      <c r="B11" s="123" t="s">
        <v>46</v>
      </c>
      <c r="C11" s="534">
        <f>'Balance Sheet'!B8</f>
        <v>844705.11999999988</v>
      </c>
      <c r="D11" s="42"/>
    </row>
    <row r="12" spans="1:4" x14ac:dyDescent="0.75">
      <c r="A12" s="734"/>
      <c r="B12" s="123" t="s">
        <v>782</v>
      </c>
      <c r="C12" s="634">
        <f>Forecast!K288-(Forecast!K262+Forecast!K258)</f>
        <v>909230.32350999978</v>
      </c>
      <c r="D12" s="42"/>
    </row>
    <row r="13" spans="1:4" x14ac:dyDescent="0.75">
      <c r="A13" s="734"/>
      <c r="B13" s="123" t="s">
        <v>47</v>
      </c>
      <c r="C13" s="64">
        <v>122</v>
      </c>
      <c r="D13" s="42" t="s">
        <v>916</v>
      </c>
    </row>
    <row r="14" spans="1:4" x14ac:dyDescent="0.75">
      <c r="A14" s="734"/>
      <c r="B14" s="124" t="s">
        <v>48</v>
      </c>
      <c r="C14" s="65">
        <f>C11/(C12/C13)</f>
        <v>113.34204543703451</v>
      </c>
      <c r="D14" s="42" t="s">
        <v>49</v>
      </c>
    </row>
    <row r="15" spans="1:4" hidden="1" x14ac:dyDescent="0.75">
      <c r="A15" s="734"/>
      <c r="B15" s="40"/>
      <c r="C15" s="40"/>
      <c r="D15" s="42"/>
    </row>
    <row r="16" spans="1:4" hidden="1" x14ac:dyDescent="0.75">
      <c r="A16" s="734"/>
      <c r="B16" s="122"/>
      <c r="C16" s="40"/>
      <c r="D16" s="42"/>
    </row>
    <row r="17" spans="1:4" hidden="1" x14ac:dyDescent="0.75">
      <c r="A17" s="734"/>
      <c r="B17" s="123"/>
      <c r="C17" s="66"/>
      <c r="D17" s="42"/>
    </row>
    <row r="18" spans="1:4" hidden="1" x14ac:dyDescent="0.75">
      <c r="A18" s="734"/>
      <c r="B18" s="123"/>
      <c r="C18" s="66"/>
      <c r="D18" s="72"/>
    </row>
    <row r="19" spans="1:4" hidden="1" x14ac:dyDescent="0.75">
      <c r="A19" s="734"/>
      <c r="B19" s="124"/>
      <c r="C19" s="67"/>
      <c r="D19" s="42"/>
    </row>
    <row r="20" spans="1:4" hidden="1" x14ac:dyDescent="0.75">
      <c r="A20" s="734"/>
      <c r="B20" s="123"/>
      <c r="C20" s="68"/>
      <c r="D20" s="42"/>
    </row>
    <row r="21" spans="1:4" hidden="1" x14ac:dyDescent="0.75">
      <c r="A21" s="734"/>
      <c r="B21" s="124"/>
      <c r="C21" s="67"/>
      <c r="D21" s="71"/>
    </row>
    <row r="22" spans="1:4" hidden="1" x14ac:dyDescent="0.75">
      <c r="A22" s="734"/>
      <c r="B22" s="40"/>
      <c r="C22" s="40"/>
      <c r="D22" s="42"/>
    </row>
    <row r="23" spans="1:4" hidden="1" x14ac:dyDescent="0.75">
      <c r="A23" s="734"/>
      <c r="B23" s="122"/>
      <c r="C23" s="40"/>
      <c r="D23" s="42"/>
    </row>
    <row r="24" spans="1:4" hidden="1" x14ac:dyDescent="0.75">
      <c r="A24" s="734"/>
      <c r="B24" s="122"/>
      <c r="C24" s="40"/>
      <c r="D24" s="42"/>
    </row>
    <row r="25" spans="1:4" ht="15.5" hidden="1" thickBot="1" x14ac:dyDescent="0.9">
      <c r="A25" s="735"/>
      <c r="B25" s="126"/>
      <c r="C25" s="69"/>
      <c r="D25" s="73"/>
    </row>
    <row r="26" spans="1:4" ht="15.5" thickBot="1" x14ac:dyDescent="0.9">
      <c r="A26" s="127"/>
      <c r="B26" s="37"/>
      <c r="C26" s="37"/>
      <c r="D26" s="74"/>
    </row>
    <row r="27" spans="1:4" x14ac:dyDescent="0.75">
      <c r="A27" s="736" t="s">
        <v>50</v>
      </c>
      <c r="B27" s="121"/>
      <c r="C27" s="38"/>
      <c r="D27" s="39"/>
    </row>
    <row r="28" spans="1:4" x14ac:dyDescent="0.75">
      <c r="A28" s="737"/>
      <c r="B28" s="122" t="s">
        <v>51</v>
      </c>
      <c r="C28" s="40"/>
      <c r="D28" s="41"/>
    </row>
    <row r="29" spans="1:4" x14ac:dyDescent="0.75">
      <c r="A29" s="737"/>
      <c r="B29" s="123" t="s">
        <v>52</v>
      </c>
      <c r="C29" s="534">
        <f>'Budget Vs. Actuals Detail'!F236</f>
        <v>-211085.33000000031</v>
      </c>
      <c r="D29" s="42"/>
    </row>
    <row r="30" spans="1:4" x14ac:dyDescent="0.75">
      <c r="A30" s="737"/>
      <c r="B30" s="123" t="s">
        <v>53</v>
      </c>
      <c r="C30" s="534">
        <f>'Budget Vs. Actuals Detail'!F57</f>
        <v>1969113.72</v>
      </c>
      <c r="D30" s="42"/>
    </row>
    <row r="31" spans="1:4" x14ac:dyDescent="0.75">
      <c r="A31" s="737"/>
      <c r="B31" s="124" t="s">
        <v>54</v>
      </c>
      <c r="C31" s="542">
        <f>C29/C30</f>
        <v>-0.10719814089762185</v>
      </c>
      <c r="D31" s="42" t="s">
        <v>55</v>
      </c>
    </row>
    <row r="32" spans="1:4" x14ac:dyDescent="0.75">
      <c r="A32" s="737"/>
      <c r="B32" s="40"/>
      <c r="C32" s="40"/>
      <c r="D32" s="42"/>
    </row>
    <row r="33" spans="1:4" x14ac:dyDescent="0.75">
      <c r="A33" s="737"/>
      <c r="B33" s="122" t="s">
        <v>56</v>
      </c>
      <c r="C33" s="40"/>
      <c r="D33" s="41"/>
    </row>
    <row r="34" spans="1:4" x14ac:dyDescent="0.75">
      <c r="A34" s="737"/>
      <c r="B34" s="123" t="s">
        <v>57</v>
      </c>
      <c r="C34" s="534">
        <f>'Balance Sheet'!B30</f>
        <v>1165775.58</v>
      </c>
      <c r="D34" s="42"/>
    </row>
    <row r="35" spans="1:4" x14ac:dyDescent="0.75">
      <c r="A35" s="737"/>
      <c r="B35" s="123" t="s">
        <v>58</v>
      </c>
      <c r="C35" s="534">
        <f>'Balance Sheet'!B17</f>
        <v>1367851.4899999998</v>
      </c>
      <c r="D35" s="42"/>
    </row>
    <row r="36" spans="1:4" x14ac:dyDescent="0.75">
      <c r="A36" s="737"/>
      <c r="B36" s="124" t="s">
        <v>59</v>
      </c>
      <c r="C36" s="543">
        <f>C34/C35</f>
        <v>0.85226765370559365</v>
      </c>
      <c r="D36" s="42" t="s">
        <v>917</v>
      </c>
    </row>
    <row r="37" spans="1:4" x14ac:dyDescent="0.75">
      <c r="A37" s="737"/>
      <c r="B37" s="40"/>
      <c r="C37" s="40"/>
      <c r="D37" s="42"/>
    </row>
    <row r="38" spans="1:4" hidden="1" x14ac:dyDescent="0.75">
      <c r="A38" s="737"/>
      <c r="B38" s="122"/>
      <c r="C38" s="43"/>
      <c r="D38" s="44"/>
    </row>
    <row r="39" spans="1:4" hidden="1" x14ac:dyDescent="0.75">
      <c r="A39" s="737"/>
      <c r="B39" s="45"/>
      <c r="C39" s="45"/>
      <c r="D39" s="41"/>
    </row>
    <row r="40" spans="1:4" hidden="1" x14ac:dyDescent="0.75">
      <c r="A40" s="737"/>
      <c r="B40" s="45"/>
      <c r="C40" s="45"/>
      <c r="D40" s="41"/>
    </row>
    <row r="41" spans="1:4" ht="15.5" thickBot="1" x14ac:dyDescent="0.9">
      <c r="A41" s="738"/>
      <c r="B41" s="46"/>
      <c r="C41" s="46"/>
      <c r="D41" s="47"/>
    </row>
  </sheetData>
  <mergeCells count="5">
    <mergeCell ref="A1:D1"/>
    <mergeCell ref="A2:D2"/>
    <mergeCell ref="A4:A25"/>
    <mergeCell ref="A27:A41"/>
    <mergeCell ref="B3:C3"/>
  </mergeCells>
  <conditionalFormatting sqref="C8">
    <cfRule type="cellIs" dxfId="442" priority="2" operator="lessThan">
      <formula>1</formula>
    </cfRule>
  </conditionalFormatting>
  <conditionalFormatting sqref="C14">
    <cfRule type="cellIs" dxfId="441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D2:J48"/>
  <sheetViews>
    <sheetView showGridLines="0" workbookViewId="0">
      <selection activeCell="F19" sqref="F19"/>
    </sheetView>
  </sheetViews>
  <sheetFormatPr defaultColWidth="10.5" defaultRowHeight="14.75" x14ac:dyDescent="0.75"/>
  <cols>
    <col min="4" max="4" width="30.1796875" customWidth="1"/>
    <col min="5" max="5" width="13.5" bestFit="1" customWidth="1"/>
    <col min="6" max="6" width="12.5" bestFit="1" customWidth="1"/>
    <col min="7" max="7" width="11" bestFit="1" customWidth="1"/>
  </cols>
  <sheetData>
    <row r="2" spans="4:8" ht="28.75" x14ac:dyDescent="1.35">
      <c r="D2" s="173" t="s">
        <v>206</v>
      </c>
      <c r="E2" s="174"/>
      <c r="F2" s="174"/>
    </row>
    <row r="3" spans="4:8" ht="6" customHeight="1" x14ac:dyDescent="0.75"/>
    <row r="4" spans="4:8" ht="23.5" x14ac:dyDescent="1.1000000000000001">
      <c r="D4" s="154" t="s">
        <v>240</v>
      </c>
    </row>
    <row r="5" spans="4:8" ht="7" customHeight="1" x14ac:dyDescent="1.1000000000000001">
      <c r="D5" s="153"/>
    </row>
    <row r="6" spans="4:8" ht="23.5" x14ac:dyDescent="1.1000000000000001">
      <c r="D6" s="154" t="s">
        <v>207</v>
      </c>
    </row>
    <row r="7" spans="4:8" ht="6" customHeight="1" x14ac:dyDescent="1.1000000000000001">
      <c r="D7" s="153"/>
    </row>
    <row r="8" spans="4:8" ht="23.5" x14ac:dyDescent="1.1000000000000001">
      <c r="D8" s="154" t="s">
        <v>208</v>
      </c>
    </row>
    <row r="9" spans="4:8" ht="7" customHeight="1" x14ac:dyDescent="1.1000000000000001">
      <c r="D9" s="153"/>
    </row>
    <row r="10" spans="4:8" ht="23.5" x14ac:dyDescent="1.1000000000000001">
      <c r="D10" s="154" t="s">
        <v>209</v>
      </c>
    </row>
    <row r="11" spans="4:8" ht="4" customHeight="1" x14ac:dyDescent="0.75"/>
    <row r="12" spans="4:8" ht="23.5" x14ac:dyDescent="1.1000000000000001">
      <c r="D12" s="154" t="s">
        <v>210</v>
      </c>
    </row>
    <row r="13" spans="4:8" ht="15.5" thickBot="1" x14ac:dyDescent="0.9"/>
    <row r="14" spans="4:8" ht="18.5" x14ac:dyDescent="0.9">
      <c r="E14" s="155" t="s">
        <v>211</v>
      </c>
      <c r="F14" s="156">
        <v>1010.1300000000001</v>
      </c>
      <c r="G14" s="157">
        <v>0.34281438141845805</v>
      </c>
      <c r="H14" s="152" t="s">
        <v>218</v>
      </c>
    </row>
    <row r="15" spans="4:8" ht="18.5" x14ac:dyDescent="0.9">
      <c r="E15" s="158" t="s">
        <v>212</v>
      </c>
      <c r="F15" s="159">
        <v>323.8</v>
      </c>
      <c r="G15" s="160">
        <v>0.1098901098901099</v>
      </c>
      <c r="H15" s="152"/>
    </row>
    <row r="16" spans="4:8" ht="18.5" x14ac:dyDescent="0.9">
      <c r="E16" s="158" t="s">
        <v>213</v>
      </c>
      <c r="F16" s="159">
        <v>705.9</v>
      </c>
      <c r="G16" s="160">
        <v>0.23956586958439954</v>
      </c>
      <c r="H16" s="152"/>
    </row>
    <row r="17" spans="4:8" ht="18.5" x14ac:dyDescent="0.9">
      <c r="E17" s="158" t="s">
        <v>214</v>
      </c>
      <c r="F17" s="159">
        <v>729.25</v>
      </c>
      <c r="G17" s="160">
        <v>0.24749031080099643</v>
      </c>
      <c r="H17" s="152"/>
    </row>
    <row r="18" spans="4:8" ht="18.5" x14ac:dyDescent="0.9">
      <c r="E18" s="158" t="s">
        <v>215</v>
      </c>
      <c r="F18" s="159">
        <v>65.25</v>
      </c>
      <c r="G18" s="160">
        <v>2.2144316461796387E-2</v>
      </c>
      <c r="H18" s="152" t="s">
        <v>219</v>
      </c>
    </row>
    <row r="19" spans="4:8" ht="18.5" x14ac:dyDescent="0.9">
      <c r="E19" s="158" t="s">
        <v>216</v>
      </c>
      <c r="F19" s="159">
        <v>12</v>
      </c>
      <c r="G19" s="160">
        <v>4.0725179699855427E-3</v>
      </c>
      <c r="H19" s="152" t="s">
        <v>220</v>
      </c>
    </row>
    <row r="20" spans="4:8" ht="18.5" x14ac:dyDescent="0.9">
      <c r="E20" s="158" t="s">
        <v>217</v>
      </c>
      <c r="F20" s="161">
        <v>100.25</v>
      </c>
      <c r="G20" s="160">
        <v>3.4022493874254219E-2</v>
      </c>
    </row>
    <row r="21" spans="4:8" ht="19.25" thickBot="1" x14ac:dyDescent="1.05">
      <c r="E21" s="162"/>
      <c r="F21" s="163">
        <v>2946.58</v>
      </c>
      <c r="G21" s="164">
        <v>1</v>
      </c>
    </row>
    <row r="23" spans="4:8" ht="23.5" x14ac:dyDescent="1.1000000000000001">
      <c r="D23" s="154" t="s">
        <v>221</v>
      </c>
    </row>
    <row r="24" spans="4:8" ht="5" customHeight="1" x14ac:dyDescent="0.75"/>
    <row r="25" spans="4:8" ht="23.5" x14ac:dyDescent="1.1000000000000001">
      <c r="D25" s="154" t="s">
        <v>222</v>
      </c>
    </row>
    <row r="26" spans="4:8" ht="15.5" thickBot="1" x14ac:dyDescent="0.9"/>
    <row r="27" spans="4:8" ht="18.5" x14ac:dyDescent="0.9">
      <c r="E27" s="155" t="s">
        <v>212</v>
      </c>
      <c r="F27" s="156">
        <v>13593.88</v>
      </c>
      <c r="G27" s="157">
        <f>F27/$F$33</f>
        <v>0.52560013053124199</v>
      </c>
      <c r="H27" t="s">
        <v>227</v>
      </c>
    </row>
    <row r="28" spans="4:8" ht="18.5" x14ac:dyDescent="0.9">
      <c r="E28" s="158" t="s">
        <v>223</v>
      </c>
      <c r="F28" s="159">
        <v>7500</v>
      </c>
      <c r="G28" s="160">
        <f t="shared" ref="G28:G32" si="0">F28/$F$33</f>
        <v>0.28998350573819359</v>
      </c>
    </row>
    <row r="29" spans="4:8" ht="18.5" x14ac:dyDescent="0.9">
      <c r="E29" s="158" t="s">
        <v>224</v>
      </c>
      <c r="F29" s="159">
        <v>4560.6900000000005</v>
      </c>
      <c r="G29" s="160">
        <f t="shared" si="0"/>
        <v>0.17633664997134965</v>
      </c>
      <c r="H29" t="s">
        <v>226</v>
      </c>
    </row>
    <row r="30" spans="4:8" ht="18.5" x14ac:dyDescent="0.9">
      <c r="E30" s="158" t="s">
        <v>225</v>
      </c>
      <c r="F30" s="159">
        <v>60.31</v>
      </c>
      <c r="G30" s="160">
        <f t="shared" si="0"/>
        <v>2.3318540308093941E-3</v>
      </c>
    </row>
    <row r="31" spans="4:8" ht="18.5" x14ac:dyDescent="0.9">
      <c r="E31" s="158" t="s">
        <v>211</v>
      </c>
      <c r="F31" s="159">
        <v>98.66</v>
      </c>
      <c r="G31" s="160">
        <f t="shared" si="0"/>
        <v>3.8146363568173575E-3</v>
      </c>
    </row>
    <row r="32" spans="4:8" ht="18.5" x14ac:dyDescent="0.9">
      <c r="E32" s="158" t="s">
        <v>214</v>
      </c>
      <c r="F32" s="161">
        <v>50</v>
      </c>
      <c r="G32" s="160">
        <f t="shared" si="0"/>
        <v>1.9332233715879574E-3</v>
      </c>
    </row>
    <row r="33" spans="4:10" ht="19.25" thickBot="1" x14ac:dyDescent="1.05">
      <c r="E33" s="162"/>
      <c r="F33" s="165">
        <v>25863.54</v>
      </c>
      <c r="G33" s="164"/>
    </row>
    <row r="35" spans="4:10" ht="23.5" x14ac:dyDescent="1.1000000000000001">
      <c r="D35" s="154" t="s">
        <v>228</v>
      </c>
    </row>
    <row r="36" spans="4:10" ht="3" customHeight="1" x14ac:dyDescent="0.75"/>
    <row r="37" spans="4:10" ht="23.5" x14ac:dyDescent="1.1000000000000001">
      <c r="D37" s="154" t="s">
        <v>229</v>
      </c>
    </row>
    <row r="38" spans="4:10" ht="5" customHeight="1" x14ac:dyDescent="0.75"/>
    <row r="39" spans="4:10" ht="29.5" x14ac:dyDescent="0.75">
      <c r="D39" s="166" t="s">
        <v>112</v>
      </c>
      <c r="E39" s="166" t="s">
        <v>230</v>
      </c>
      <c r="F39" s="167" t="s">
        <v>231</v>
      </c>
      <c r="G39" s="167" t="s">
        <v>232</v>
      </c>
      <c r="H39" s="167" t="s">
        <v>233</v>
      </c>
      <c r="I39" s="149"/>
      <c r="J39" s="149"/>
    </row>
    <row r="40" spans="4:10" x14ac:dyDescent="0.75">
      <c r="D40" s="166" t="s">
        <v>114</v>
      </c>
      <c r="E40" s="168">
        <v>25000</v>
      </c>
      <c r="F40" s="168">
        <v>12307.92</v>
      </c>
      <c r="G40" s="168">
        <v>16343.12</v>
      </c>
      <c r="H40" s="169">
        <f>E40-F40-G40</f>
        <v>-3651.0400000000009</v>
      </c>
      <c r="I40" s="149"/>
      <c r="J40" s="149"/>
    </row>
    <row r="41" spans="4:10" x14ac:dyDescent="0.75">
      <c r="D41" s="166" t="s">
        <v>115</v>
      </c>
      <c r="E41" s="168">
        <v>75000</v>
      </c>
      <c r="F41" s="168">
        <v>19790.739999999998</v>
      </c>
      <c r="G41" s="168">
        <v>56853.420000000006</v>
      </c>
      <c r="H41" s="169">
        <f t="shared" ref="H41:H47" si="1">E41-F41-G41</f>
        <v>-1644.1600000000035</v>
      </c>
      <c r="I41" s="149"/>
      <c r="J41" s="149"/>
    </row>
    <row r="42" spans="4:10" x14ac:dyDescent="0.75">
      <c r="D42" s="166" t="s">
        <v>205</v>
      </c>
      <c r="E42" s="168">
        <v>19442.5</v>
      </c>
      <c r="F42" s="168">
        <v>24477.46</v>
      </c>
      <c r="G42" s="168"/>
      <c r="H42" s="169">
        <f t="shared" si="1"/>
        <v>-5034.9599999999991</v>
      </c>
      <c r="I42" s="149" t="s">
        <v>234</v>
      </c>
      <c r="J42" s="149"/>
    </row>
    <row r="43" spans="4:10" x14ac:dyDescent="0.75">
      <c r="D43" s="166" t="s">
        <v>198</v>
      </c>
      <c r="E43" s="168">
        <v>4627.5</v>
      </c>
      <c r="F43" s="168"/>
      <c r="G43" s="168"/>
      <c r="H43" s="169">
        <f t="shared" si="1"/>
        <v>4627.5</v>
      </c>
      <c r="I43" s="149" t="s">
        <v>235</v>
      </c>
      <c r="J43" s="149"/>
    </row>
    <row r="44" spans="4:10" x14ac:dyDescent="0.75">
      <c r="D44" s="166" t="s">
        <v>116</v>
      </c>
      <c r="E44" s="168">
        <v>18586</v>
      </c>
      <c r="F44" s="168"/>
      <c r="G44" s="168"/>
      <c r="H44" s="169">
        <f t="shared" si="1"/>
        <v>18586</v>
      </c>
      <c r="I44" s="149" t="s">
        <v>236</v>
      </c>
      <c r="J44" s="149"/>
    </row>
    <row r="45" spans="4:10" x14ac:dyDescent="0.75">
      <c r="D45" s="166" t="s">
        <v>197</v>
      </c>
      <c r="E45" s="168">
        <v>6322.5</v>
      </c>
      <c r="F45" s="168"/>
      <c r="G45" s="168"/>
      <c r="H45" s="169">
        <f t="shared" si="1"/>
        <v>6322.5</v>
      </c>
      <c r="I45" s="149" t="s">
        <v>237</v>
      </c>
      <c r="J45" s="149"/>
    </row>
    <row r="46" spans="4:10" x14ac:dyDescent="0.75">
      <c r="D46" s="166" t="s">
        <v>238</v>
      </c>
      <c r="E46" s="168"/>
      <c r="F46" s="168"/>
      <c r="G46" s="168"/>
      <c r="H46" s="169">
        <f>E46-F46-G46</f>
        <v>0</v>
      </c>
      <c r="I46" s="149"/>
      <c r="J46" s="149"/>
    </row>
    <row r="47" spans="4:10" ht="29.5" x14ac:dyDescent="0.75">
      <c r="D47" s="166" t="s">
        <v>117</v>
      </c>
      <c r="E47" s="168">
        <v>60000</v>
      </c>
      <c r="F47" s="168">
        <v>33174.03</v>
      </c>
      <c r="G47" s="168">
        <v>16750</v>
      </c>
      <c r="H47" s="169">
        <f t="shared" si="1"/>
        <v>10075.970000000001</v>
      </c>
      <c r="I47" s="149"/>
      <c r="J47" s="149"/>
    </row>
    <row r="48" spans="4:10" x14ac:dyDescent="0.75">
      <c r="D48" s="170" t="s">
        <v>239</v>
      </c>
      <c r="E48" s="171">
        <f>SUM(E40:E47)</f>
        <v>208978.5</v>
      </c>
      <c r="F48" s="171">
        <f t="shared" ref="F48:H48" si="2">SUM(F40:F47)</f>
        <v>89750.15</v>
      </c>
      <c r="G48" s="171">
        <f t="shared" si="2"/>
        <v>89946.540000000008</v>
      </c>
      <c r="H48" s="172">
        <f t="shared" si="2"/>
        <v>29281.809999999998</v>
      </c>
      <c r="I48" s="149"/>
      <c r="J48" s="149"/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-0.249977111117893"/>
    <pageSetUpPr fitToPage="1"/>
  </sheetPr>
  <dimension ref="A1:L258"/>
  <sheetViews>
    <sheetView showWhiteSpace="0" zoomScaleNormal="100" zoomScaleSheetLayoutView="115" workbookViewId="0">
      <selection sqref="A1:I3"/>
    </sheetView>
  </sheetViews>
  <sheetFormatPr defaultColWidth="9.1796875" defaultRowHeight="16" x14ac:dyDescent="0.75"/>
  <cols>
    <col min="1" max="1" width="40.5" style="36" customWidth="1"/>
    <col min="2" max="2" width="1.1796875" style="21" customWidth="1"/>
    <col min="3" max="3" width="13.5" style="21" customWidth="1"/>
    <col min="4" max="4" width="15" style="21" customWidth="1"/>
    <col min="5" max="5" width="9.81640625" style="21" customWidth="1"/>
    <col min="6" max="6" width="1.1796875" style="21" customWidth="1"/>
    <col min="7" max="7" width="13.81640625" style="21" hidden="1" customWidth="1" collapsed="1"/>
    <col min="8" max="8" width="14" style="21" hidden="1" customWidth="1"/>
    <col min="9" max="9" width="12.81640625" style="21" hidden="1" customWidth="1"/>
    <col min="10" max="10" width="1.1796875" style="117" hidden="1" customWidth="1"/>
    <col min="11" max="11" width="47" style="21" customWidth="1"/>
    <col min="12" max="12" width="10.5" style="28" customWidth="1"/>
    <col min="13" max="16384" width="9.1796875" style="28"/>
  </cols>
  <sheetData>
    <row r="1" spans="1:12" customFormat="1" ht="28.75" x14ac:dyDescent="0.75">
      <c r="A1" s="762" t="s">
        <v>104</v>
      </c>
      <c r="B1" s="763"/>
      <c r="C1" s="763"/>
      <c r="D1" s="763"/>
      <c r="E1" s="763"/>
      <c r="F1" s="763"/>
      <c r="G1" s="763"/>
      <c r="H1" s="763"/>
      <c r="I1" s="764"/>
      <c r="J1" s="113"/>
      <c r="K1" s="118"/>
    </row>
    <row r="2" spans="1:12" s="82" customFormat="1" ht="23.5" x14ac:dyDescent="0.75">
      <c r="A2" s="805" t="s">
        <v>62</v>
      </c>
      <c r="B2" s="806"/>
      <c r="C2" s="806"/>
      <c r="D2" s="806"/>
      <c r="E2" s="806"/>
      <c r="F2" s="806"/>
      <c r="G2" s="806"/>
      <c r="H2" s="806"/>
      <c r="I2" s="807"/>
      <c r="J2" s="99"/>
      <c r="K2" s="119"/>
    </row>
    <row r="3" spans="1:12" s="82" customFormat="1" ht="18" thickBot="1" x14ac:dyDescent="0.9">
      <c r="A3" s="772">
        <f>Indicators!B3</f>
        <v>43890</v>
      </c>
      <c r="B3" s="773"/>
      <c r="C3" s="773"/>
      <c r="D3" s="773"/>
      <c r="E3" s="773"/>
      <c r="F3" s="773"/>
      <c r="G3" s="773"/>
      <c r="H3" s="773"/>
      <c r="I3" s="774"/>
      <c r="J3" s="99"/>
      <c r="K3" s="120"/>
    </row>
    <row r="4" spans="1:12" customFormat="1" ht="16.75" thickBot="1" x14ac:dyDescent="0.95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customFormat="1" ht="16.75" thickBot="1" x14ac:dyDescent="0.95">
      <c r="A5" s="3" t="s">
        <v>102</v>
      </c>
      <c r="B5" s="4"/>
      <c r="C5" s="52" t="s">
        <v>3</v>
      </c>
      <c r="D5" s="84">
        <f>Indicators!B3</f>
        <v>43890</v>
      </c>
      <c r="E5" s="51"/>
      <c r="F5" s="58"/>
      <c r="G5" s="803"/>
      <c r="H5" s="803"/>
      <c r="I5" s="804"/>
      <c r="J5" s="5"/>
      <c r="K5" s="5"/>
    </row>
    <row r="6" spans="1:12" customFormat="1" ht="25.75" thickBot="1" x14ac:dyDescent="0.9">
      <c r="A6" s="6"/>
      <c r="B6" s="7"/>
      <c r="C6" s="53" t="s">
        <v>4</v>
      </c>
      <c r="D6" s="54" t="s">
        <v>0</v>
      </c>
      <c r="E6" s="55" t="s">
        <v>5</v>
      </c>
      <c r="F6" s="8"/>
      <c r="G6" s="54" t="s">
        <v>6</v>
      </c>
      <c r="H6" s="54" t="s">
        <v>2</v>
      </c>
      <c r="I6" s="55" t="s">
        <v>5</v>
      </c>
      <c r="J6" s="114"/>
      <c r="K6" s="98" t="s">
        <v>101</v>
      </c>
    </row>
    <row r="7" spans="1:12" customFormat="1" x14ac:dyDescent="0.8">
      <c r="A7" s="91" t="s">
        <v>10</v>
      </c>
      <c r="B7" s="9"/>
      <c r="C7" s="10"/>
      <c r="D7" s="10"/>
      <c r="E7" s="10"/>
      <c r="F7" s="9"/>
      <c r="G7" s="11"/>
      <c r="H7" s="10"/>
      <c r="I7" s="10"/>
      <c r="J7" s="9"/>
      <c r="K7" s="10"/>
    </row>
    <row r="8" spans="1:12" s="149" customFormat="1" x14ac:dyDescent="0.8">
      <c r="A8" s="61" t="s">
        <v>249</v>
      </c>
      <c r="B8" s="9"/>
      <c r="C8" s="10"/>
      <c r="D8" s="10"/>
      <c r="E8" s="10"/>
      <c r="F8" s="9"/>
      <c r="G8" s="11"/>
      <c r="H8" s="10"/>
      <c r="I8" s="10"/>
      <c r="J8" s="9"/>
      <c r="K8" s="10"/>
    </row>
    <row r="9" spans="1:12" s="149" customFormat="1" x14ac:dyDescent="0.8">
      <c r="A9" s="61" t="s">
        <v>250</v>
      </c>
      <c r="B9" s="9"/>
      <c r="C9" s="14">
        <v>323000</v>
      </c>
      <c r="D9" s="14">
        <v>285387.33333333331</v>
      </c>
      <c r="E9" s="16">
        <f t="shared" ref="E9:E11" si="0">C9-D9</f>
        <v>37612.666666666686</v>
      </c>
      <c r="F9" s="9"/>
      <c r="G9" s="11"/>
      <c r="H9" s="10"/>
      <c r="I9" s="10"/>
      <c r="J9" s="9"/>
      <c r="K9" s="10" t="s">
        <v>254</v>
      </c>
    </row>
    <row r="10" spans="1:12" s="149" customFormat="1" x14ac:dyDescent="0.8">
      <c r="A10" s="61" t="s">
        <v>252</v>
      </c>
      <c r="B10" s="9"/>
      <c r="C10" s="14"/>
      <c r="D10" s="14">
        <v>13276.333333333334</v>
      </c>
      <c r="E10" s="16">
        <f t="shared" si="0"/>
        <v>-13276.333333333334</v>
      </c>
      <c r="F10" s="9"/>
      <c r="G10" s="11"/>
      <c r="H10" s="10"/>
      <c r="I10" s="10"/>
      <c r="J10" s="9"/>
      <c r="K10" s="10"/>
    </row>
    <row r="11" spans="1:12" s="149" customFormat="1" x14ac:dyDescent="0.8">
      <c r="A11" s="61" t="s">
        <v>251</v>
      </c>
      <c r="B11" s="9"/>
      <c r="C11" s="14">
        <v>62500</v>
      </c>
      <c r="D11" s="14">
        <v>83333.333333333328</v>
      </c>
      <c r="E11" s="16">
        <f t="shared" si="0"/>
        <v>-20833.333333333328</v>
      </c>
      <c r="F11" s="9"/>
      <c r="G11" s="11"/>
      <c r="H11" s="10"/>
      <c r="I11" s="10"/>
      <c r="J11" s="9"/>
      <c r="K11" s="10" t="s">
        <v>253</v>
      </c>
    </row>
    <row r="12" spans="1:12" s="149" customFormat="1" x14ac:dyDescent="0.75">
      <c r="A12" s="62" t="s">
        <v>248</v>
      </c>
      <c r="B12" s="88"/>
      <c r="C12" s="57">
        <f>SUM(C9:C11)</f>
        <v>385500</v>
      </c>
      <c r="D12" s="57">
        <f>SUM(D9:D11)</f>
        <v>381996.99999999994</v>
      </c>
      <c r="E12" s="57">
        <f>SUM(E9:E11)</f>
        <v>3503.0000000000218</v>
      </c>
      <c r="F12" s="56"/>
      <c r="G12" s="57">
        <v>424842.42</v>
      </c>
      <c r="H12" s="57">
        <v>437054</v>
      </c>
      <c r="I12" s="102">
        <f>G12-H12</f>
        <v>-12211.580000000016</v>
      </c>
      <c r="J12" s="9"/>
      <c r="K12" s="110"/>
      <c r="L12" s="28"/>
    </row>
    <row r="13" spans="1:12" customFormat="1" x14ac:dyDescent="0.8">
      <c r="A13" s="91" t="s">
        <v>63</v>
      </c>
      <c r="B13" s="87"/>
      <c r="C13" s="13"/>
      <c r="D13" s="13"/>
      <c r="E13" s="13"/>
      <c r="F13" s="12"/>
      <c r="G13" s="13"/>
      <c r="H13" s="13"/>
      <c r="I13" s="100"/>
      <c r="J13" s="9"/>
      <c r="K13" s="97"/>
    </row>
    <row r="14" spans="1:12" customFormat="1" x14ac:dyDescent="0.75">
      <c r="A14" s="61" t="s">
        <v>130</v>
      </c>
      <c r="B14" s="87"/>
      <c r="C14" s="14"/>
      <c r="D14" s="14"/>
      <c r="E14" s="16">
        <f>C14-D14</f>
        <v>0</v>
      </c>
      <c r="F14" s="15"/>
      <c r="G14" s="16">
        <v>424842.42</v>
      </c>
      <c r="H14" s="16">
        <v>437054</v>
      </c>
      <c r="I14" s="101">
        <f>G14-H14</f>
        <v>-12211.580000000016</v>
      </c>
      <c r="J14" s="9"/>
      <c r="K14" s="97"/>
      <c r="L14" s="75"/>
    </row>
    <row r="15" spans="1:12" s="50" customFormat="1" x14ac:dyDescent="0.75">
      <c r="A15" s="92" t="s">
        <v>64</v>
      </c>
      <c r="B15" s="88"/>
      <c r="C15" s="57">
        <v>0</v>
      </c>
      <c r="D15" s="57">
        <v>0</v>
      </c>
      <c r="E15" s="57">
        <f>SUM(E14)</f>
        <v>0</v>
      </c>
      <c r="F15" s="56"/>
      <c r="G15" s="57">
        <v>424842.42</v>
      </c>
      <c r="H15" s="57">
        <v>437054</v>
      </c>
      <c r="I15" s="102">
        <f>G15-H15</f>
        <v>-12211.580000000016</v>
      </c>
      <c r="J15" s="9"/>
      <c r="K15" s="110"/>
      <c r="L15" s="28"/>
    </row>
    <row r="16" spans="1:12" customFormat="1" x14ac:dyDescent="0.75">
      <c r="A16" s="91" t="s">
        <v>65</v>
      </c>
      <c r="B16" s="87"/>
      <c r="C16" s="16"/>
      <c r="D16" s="16"/>
      <c r="E16" s="20"/>
      <c r="F16" s="15"/>
      <c r="G16" s="20"/>
      <c r="H16" s="20"/>
      <c r="I16" s="103"/>
      <c r="J16" s="9"/>
      <c r="K16" s="97"/>
    </row>
    <row r="17" spans="1:12" s="137" customFormat="1" x14ac:dyDescent="0.75">
      <c r="A17" s="91" t="s">
        <v>176</v>
      </c>
      <c r="B17" s="87"/>
      <c r="C17" s="14">
        <v>1735.99</v>
      </c>
      <c r="D17" s="14">
        <v>0</v>
      </c>
      <c r="E17" s="16">
        <f>C17-D17</f>
        <v>1735.99</v>
      </c>
      <c r="F17" s="15"/>
      <c r="G17" s="16">
        <v>7786</v>
      </c>
      <c r="H17" s="16">
        <v>0</v>
      </c>
      <c r="I17" s="101">
        <f>G17-H17</f>
        <v>7786</v>
      </c>
      <c r="J17" s="9"/>
      <c r="K17" s="97"/>
    </row>
    <row r="18" spans="1:12" customFormat="1" x14ac:dyDescent="0.75">
      <c r="A18" s="91" t="s">
        <v>107</v>
      </c>
      <c r="B18" s="87"/>
      <c r="C18" s="14"/>
      <c r="D18" s="14"/>
      <c r="E18" s="16">
        <f>C18-D18</f>
        <v>0</v>
      </c>
      <c r="F18" s="15"/>
      <c r="G18" s="16">
        <v>325000</v>
      </c>
      <c r="H18" s="16">
        <v>325000</v>
      </c>
      <c r="I18" s="101">
        <f>G18-H18</f>
        <v>0</v>
      </c>
      <c r="J18" s="9"/>
      <c r="K18" s="97"/>
    </row>
    <row r="19" spans="1:12" s="81" customFormat="1" x14ac:dyDescent="0.75">
      <c r="A19" s="92" t="s">
        <v>66</v>
      </c>
      <c r="B19" s="88"/>
      <c r="C19" s="57">
        <f>C17</f>
        <v>1735.99</v>
      </c>
      <c r="D19" s="57">
        <v>0</v>
      </c>
      <c r="E19" s="57">
        <f>SUM(E17:E18)</f>
        <v>1735.99</v>
      </c>
      <c r="F19" s="56"/>
      <c r="G19" s="57">
        <v>332786</v>
      </c>
      <c r="H19" s="57">
        <v>325000</v>
      </c>
      <c r="I19" s="57">
        <f t="shared" ref="I19" si="1">SUM(I17:I18)</f>
        <v>7786</v>
      </c>
      <c r="J19" s="9"/>
      <c r="K19" s="110"/>
    </row>
    <row r="20" spans="1:12" customFormat="1" x14ac:dyDescent="0.75">
      <c r="A20" s="93" t="s">
        <v>11</v>
      </c>
      <c r="B20" s="89"/>
      <c r="C20" s="76">
        <f>C12+C19</f>
        <v>387235.99</v>
      </c>
      <c r="D20" s="76">
        <f>D12</f>
        <v>381996.99999999994</v>
      </c>
      <c r="E20" s="76">
        <f>E15+E19+E12</f>
        <v>5238.9900000000216</v>
      </c>
      <c r="F20" s="15"/>
      <c r="G20" s="76">
        <v>757628.41999999993</v>
      </c>
      <c r="H20" s="76">
        <v>762054</v>
      </c>
      <c r="I20" s="104">
        <f>G20-H20</f>
        <v>-4425.5800000000745</v>
      </c>
      <c r="J20" s="9"/>
      <c r="K20" s="111"/>
      <c r="L20" s="175"/>
    </row>
    <row r="21" spans="1:12" customFormat="1" x14ac:dyDescent="0.75">
      <c r="A21" s="91" t="s">
        <v>1</v>
      </c>
      <c r="B21" s="87"/>
      <c r="C21" s="14"/>
      <c r="D21" s="14"/>
      <c r="E21" s="16"/>
      <c r="F21" s="15"/>
      <c r="G21" s="16"/>
      <c r="H21" s="16"/>
      <c r="I21" s="101"/>
      <c r="J21" s="9"/>
      <c r="K21" s="97"/>
    </row>
    <row r="22" spans="1:12" customFormat="1" x14ac:dyDescent="0.75">
      <c r="A22" s="91" t="s">
        <v>12</v>
      </c>
      <c r="B22" s="87"/>
      <c r="C22" s="14"/>
      <c r="D22" s="14"/>
      <c r="E22" s="20"/>
      <c r="F22" s="15"/>
      <c r="G22" s="20"/>
      <c r="H22" s="20"/>
      <c r="I22" s="103"/>
      <c r="J22" s="9"/>
      <c r="K22" s="97"/>
    </row>
    <row r="23" spans="1:12" s="86" customFormat="1" x14ac:dyDescent="0.75">
      <c r="A23" s="61" t="s">
        <v>131</v>
      </c>
      <c r="B23" s="87"/>
      <c r="C23" s="14"/>
      <c r="D23" s="14"/>
      <c r="E23" s="20"/>
      <c r="F23" s="15"/>
      <c r="G23" s="20"/>
      <c r="H23" s="20"/>
      <c r="I23" s="103"/>
      <c r="J23" s="9"/>
      <c r="K23" s="97"/>
    </row>
    <row r="24" spans="1:12" customFormat="1" x14ac:dyDescent="0.75">
      <c r="A24" s="61" t="s">
        <v>132</v>
      </c>
      <c r="B24" s="87"/>
      <c r="C24" s="14"/>
      <c r="D24" s="14"/>
      <c r="E24" s="18"/>
      <c r="F24" s="18"/>
      <c r="G24" s="18"/>
      <c r="H24" s="18"/>
      <c r="I24" s="105"/>
      <c r="J24" s="19"/>
      <c r="K24" s="97"/>
    </row>
    <row r="25" spans="1:12" customFormat="1" x14ac:dyDescent="0.75">
      <c r="A25" s="61" t="s">
        <v>133</v>
      </c>
      <c r="B25" s="87"/>
      <c r="C25" s="14">
        <v>22316.68</v>
      </c>
      <c r="D25" s="14">
        <v>22316.666666666668</v>
      </c>
      <c r="E25" s="16">
        <f>D25-C25</f>
        <v>-1.3333333332411712E-2</v>
      </c>
      <c r="F25" s="15"/>
      <c r="G25" s="16">
        <v>113769.27</v>
      </c>
      <c r="H25" s="16">
        <v>113750</v>
      </c>
      <c r="I25" s="101">
        <f>H25-G25</f>
        <v>-19.270000000004075</v>
      </c>
      <c r="J25" s="9"/>
      <c r="K25" s="97"/>
    </row>
    <row r="26" spans="1:12" s="149" customFormat="1" x14ac:dyDescent="0.75">
      <c r="A26" s="61" t="s">
        <v>255</v>
      </c>
      <c r="B26" s="87"/>
      <c r="C26" s="14">
        <v>10307.67</v>
      </c>
      <c r="D26" s="14">
        <v>13333.333333333334</v>
      </c>
      <c r="E26" s="16">
        <f>D26-C26</f>
        <v>3025.6633333333339</v>
      </c>
      <c r="F26" s="15"/>
      <c r="G26" s="16"/>
      <c r="H26" s="16"/>
      <c r="I26" s="101"/>
      <c r="J26" s="9"/>
      <c r="K26" s="97"/>
    </row>
    <row r="27" spans="1:12" customFormat="1" x14ac:dyDescent="0.75">
      <c r="A27" s="61" t="s">
        <v>134</v>
      </c>
      <c r="B27" s="87"/>
      <c r="C27" s="14">
        <v>15000</v>
      </c>
      <c r="D27" s="14">
        <v>15000</v>
      </c>
      <c r="E27" s="16">
        <f>D27-C27</f>
        <v>0</v>
      </c>
      <c r="F27" s="15"/>
      <c r="G27" s="16">
        <v>20123.73</v>
      </c>
      <c r="H27" s="16">
        <v>42500</v>
      </c>
      <c r="I27" s="101">
        <f>H27-G27</f>
        <v>22376.27</v>
      </c>
      <c r="J27" s="9"/>
      <c r="K27" s="97"/>
    </row>
    <row r="28" spans="1:12" customFormat="1" x14ac:dyDescent="0.75">
      <c r="A28" s="61" t="s">
        <v>135</v>
      </c>
      <c r="B28" s="87"/>
      <c r="C28" s="14">
        <v>8775</v>
      </c>
      <c r="D28" s="14">
        <v>8775</v>
      </c>
      <c r="E28" s="16">
        <f>D28-C28</f>
        <v>0</v>
      </c>
      <c r="F28" s="15"/>
      <c r="G28" s="16">
        <v>13162.66</v>
      </c>
      <c r="H28" s="16">
        <v>12500</v>
      </c>
      <c r="I28" s="101">
        <f>H28-G28</f>
        <v>-662.65999999999985</v>
      </c>
      <c r="J28" s="9"/>
      <c r="K28" s="97"/>
      <c r="L28" s="75"/>
    </row>
    <row r="29" spans="1:12" customFormat="1" x14ac:dyDescent="0.75">
      <c r="A29" s="92" t="s">
        <v>136</v>
      </c>
      <c r="B29" s="88"/>
      <c r="C29" s="57">
        <f>SUM(C25:C28)</f>
        <v>56399.35</v>
      </c>
      <c r="D29" s="57">
        <f>SUM(D25:D28)</f>
        <v>59425</v>
      </c>
      <c r="E29" s="57">
        <f>SUM(E25:E28)</f>
        <v>3025.6500000000015</v>
      </c>
      <c r="F29" s="56"/>
      <c r="G29" s="57">
        <v>147055.66</v>
      </c>
      <c r="H29" s="57">
        <v>168750</v>
      </c>
      <c r="I29" s="102">
        <f>H29-G29</f>
        <v>21694.339999999997</v>
      </c>
      <c r="J29" s="9"/>
      <c r="K29" s="110"/>
      <c r="L29" s="75"/>
    </row>
    <row r="30" spans="1:12" s="133" customFormat="1" x14ac:dyDescent="0.75">
      <c r="A30" s="91" t="s">
        <v>164</v>
      </c>
      <c r="B30" s="87"/>
      <c r="C30" s="14"/>
      <c r="D30" s="14"/>
      <c r="E30" s="16"/>
      <c r="F30" s="15"/>
      <c r="G30" s="16"/>
      <c r="H30" s="16"/>
      <c r="I30" s="101"/>
      <c r="J30" s="9"/>
      <c r="K30" s="97"/>
      <c r="L30" s="75"/>
    </row>
    <row r="31" spans="1:12" s="149" customFormat="1" x14ac:dyDescent="0.75">
      <c r="A31" s="91" t="s">
        <v>256</v>
      </c>
      <c r="B31" s="87"/>
      <c r="C31" s="14">
        <v>23249.99</v>
      </c>
      <c r="D31" s="14">
        <v>49000</v>
      </c>
      <c r="E31" s="16">
        <f t="shared" ref="E31:E36" si="2">D31-C31</f>
        <v>25750.01</v>
      </c>
      <c r="F31" s="15"/>
      <c r="G31" s="16"/>
      <c r="H31" s="16"/>
      <c r="I31" s="101"/>
      <c r="J31" s="9"/>
      <c r="K31" s="97"/>
      <c r="L31" s="75"/>
    </row>
    <row r="32" spans="1:12" s="149" customFormat="1" x14ac:dyDescent="0.75">
      <c r="A32" s="91" t="s">
        <v>257</v>
      </c>
      <c r="B32" s="87"/>
      <c r="C32" s="14">
        <v>15806.1</v>
      </c>
      <c r="D32" s="14"/>
      <c r="E32" s="16">
        <f t="shared" si="2"/>
        <v>-15806.1</v>
      </c>
      <c r="F32" s="15"/>
      <c r="G32" s="16"/>
      <c r="H32" s="16"/>
      <c r="I32" s="101"/>
      <c r="J32" s="9"/>
      <c r="K32" s="97"/>
      <c r="L32" s="75"/>
    </row>
    <row r="33" spans="1:12" s="149" customFormat="1" x14ac:dyDescent="0.75">
      <c r="A33" s="91" t="s">
        <v>258</v>
      </c>
      <c r="B33" s="87"/>
      <c r="C33" s="14"/>
      <c r="D33" s="14"/>
      <c r="E33" s="16">
        <f t="shared" si="2"/>
        <v>0</v>
      </c>
      <c r="F33" s="15"/>
      <c r="G33" s="16"/>
      <c r="H33" s="16"/>
      <c r="I33" s="101"/>
      <c r="J33" s="9"/>
      <c r="K33" s="97"/>
      <c r="L33" s="75"/>
    </row>
    <row r="34" spans="1:12" s="149" customFormat="1" x14ac:dyDescent="0.75">
      <c r="A34" s="91" t="s">
        <v>259</v>
      </c>
      <c r="B34" s="87"/>
      <c r="C34" s="14"/>
      <c r="D34" s="14"/>
      <c r="E34" s="16">
        <f t="shared" si="2"/>
        <v>0</v>
      </c>
      <c r="F34" s="15"/>
      <c r="G34" s="16"/>
      <c r="H34" s="16"/>
      <c r="I34" s="101"/>
      <c r="J34" s="9"/>
      <c r="K34" s="97"/>
      <c r="L34" s="75"/>
    </row>
    <row r="35" spans="1:12" s="149" customFormat="1" x14ac:dyDescent="0.75">
      <c r="A35" s="91" t="s">
        <v>260</v>
      </c>
      <c r="B35" s="87"/>
      <c r="C35" s="14">
        <v>3473.69</v>
      </c>
      <c r="D35" s="14">
        <v>8020.833333333333</v>
      </c>
      <c r="E35" s="16">
        <f t="shared" si="2"/>
        <v>4547.1433333333334</v>
      </c>
      <c r="F35" s="15"/>
      <c r="G35" s="16"/>
      <c r="H35" s="16"/>
      <c r="I35" s="101"/>
      <c r="J35" s="9"/>
      <c r="K35" s="97"/>
      <c r="L35" s="75"/>
    </row>
    <row r="36" spans="1:12" s="149" customFormat="1" x14ac:dyDescent="0.75">
      <c r="A36" s="91" t="s">
        <v>261</v>
      </c>
      <c r="B36" s="87"/>
      <c r="C36" s="14">
        <v>4875</v>
      </c>
      <c r="D36" s="14">
        <v>4875</v>
      </c>
      <c r="E36" s="16">
        <f t="shared" si="2"/>
        <v>0</v>
      </c>
      <c r="F36" s="15"/>
      <c r="G36" s="16"/>
      <c r="H36" s="16"/>
      <c r="I36" s="101"/>
      <c r="J36" s="9"/>
      <c r="K36" s="97"/>
      <c r="L36" s="75"/>
    </row>
    <row r="37" spans="1:12" s="133" customFormat="1" x14ac:dyDescent="0.75">
      <c r="A37" s="91" t="s">
        <v>262</v>
      </c>
      <c r="B37" s="87"/>
      <c r="C37" s="14">
        <v>4875</v>
      </c>
      <c r="D37" s="14">
        <v>5000</v>
      </c>
      <c r="E37" s="16">
        <f>D37-C37</f>
        <v>125</v>
      </c>
      <c r="F37" s="15"/>
      <c r="G37" s="16">
        <v>2596.0500000000002</v>
      </c>
      <c r="H37" s="16">
        <v>0</v>
      </c>
      <c r="I37" s="101">
        <f>H37-G37</f>
        <v>-2596.0500000000002</v>
      </c>
      <c r="J37" s="9"/>
      <c r="K37" s="97"/>
      <c r="L37" s="75"/>
    </row>
    <row r="38" spans="1:12" s="133" customFormat="1" x14ac:dyDescent="0.75">
      <c r="A38" s="92" t="s">
        <v>165</v>
      </c>
      <c r="B38" s="88"/>
      <c r="C38" s="57">
        <f>SUM(C31:C37)</f>
        <v>52279.780000000006</v>
      </c>
      <c r="D38" s="57">
        <f>SUM(D31:D37)</f>
        <v>66895.833333333343</v>
      </c>
      <c r="E38" s="57">
        <f>SUM(E31:E37)</f>
        <v>14616.053333333331</v>
      </c>
      <c r="F38" s="56"/>
      <c r="G38" s="57">
        <v>2596.0500000000002</v>
      </c>
      <c r="H38" s="57">
        <v>0</v>
      </c>
      <c r="I38" s="102">
        <f>H38-G38</f>
        <v>-2596.0500000000002</v>
      </c>
      <c r="J38" s="9"/>
      <c r="K38" s="110"/>
      <c r="L38" s="75"/>
    </row>
    <row r="39" spans="1:12" s="78" customFormat="1" x14ac:dyDescent="0.75">
      <c r="A39" s="91" t="s">
        <v>137</v>
      </c>
      <c r="B39" s="87"/>
      <c r="C39" s="14"/>
      <c r="D39" s="14"/>
      <c r="E39" s="18"/>
      <c r="F39" s="18"/>
      <c r="G39" s="18"/>
      <c r="H39" s="18"/>
      <c r="I39" s="105"/>
      <c r="J39" s="19"/>
      <c r="K39" s="97"/>
      <c r="L39" s="75"/>
    </row>
    <row r="40" spans="1:12" customFormat="1" x14ac:dyDescent="0.75">
      <c r="A40" s="61" t="s">
        <v>138</v>
      </c>
      <c r="B40" s="87"/>
      <c r="C40" s="14">
        <v>2914.04</v>
      </c>
      <c r="D40" s="14">
        <v>1263.2083333333335</v>
      </c>
      <c r="E40" s="16">
        <f t="shared" ref="E40:E49" si="3">D40-C40</f>
        <v>-1650.8316666666665</v>
      </c>
      <c r="F40" s="15"/>
      <c r="G40" s="16">
        <v>2163.75</v>
      </c>
      <c r="H40" s="16">
        <v>1394</v>
      </c>
      <c r="I40" s="101">
        <f t="shared" ref="I40:I50" si="4">H40-G40</f>
        <v>-769.75</v>
      </c>
      <c r="J40" s="9"/>
      <c r="K40" s="97"/>
      <c r="L40" s="75"/>
    </row>
    <row r="41" spans="1:12" customFormat="1" x14ac:dyDescent="0.75">
      <c r="A41" s="61" t="s">
        <v>139</v>
      </c>
      <c r="B41" s="87"/>
      <c r="C41" s="14">
        <v>8301.31</v>
      </c>
      <c r="D41" s="14">
        <v>7831.8916666666673</v>
      </c>
      <c r="E41" s="16">
        <f t="shared" si="3"/>
        <v>-469.41833333333216</v>
      </c>
      <c r="F41" s="15"/>
      <c r="G41" s="16">
        <v>9239.2199999999993</v>
      </c>
      <c r="H41" s="16">
        <v>10463</v>
      </c>
      <c r="I41" s="101">
        <f t="shared" si="4"/>
        <v>1223.7800000000007</v>
      </c>
      <c r="J41" s="9"/>
      <c r="K41" s="97"/>
    </row>
    <row r="42" spans="1:12" customFormat="1" x14ac:dyDescent="0.75">
      <c r="A42" s="61" t="s">
        <v>140</v>
      </c>
      <c r="B42" s="87"/>
      <c r="C42" s="14">
        <v>1941.44</v>
      </c>
      <c r="D42" s="14">
        <v>1831.6520833333334</v>
      </c>
      <c r="E42" s="16">
        <f t="shared" si="3"/>
        <v>-109.78791666666666</v>
      </c>
      <c r="F42" s="15"/>
      <c r="G42" s="16">
        <v>2160.75</v>
      </c>
      <c r="H42" s="16">
        <v>2447</v>
      </c>
      <c r="I42" s="101">
        <f t="shared" si="4"/>
        <v>286.25</v>
      </c>
      <c r="J42" s="9"/>
      <c r="K42" s="97"/>
    </row>
    <row r="43" spans="1:12" customFormat="1" x14ac:dyDescent="0.75">
      <c r="A43" s="61" t="s">
        <v>141</v>
      </c>
      <c r="B43" s="87"/>
      <c r="C43" s="14">
        <v>1635.54</v>
      </c>
      <c r="D43" s="14">
        <v>0</v>
      </c>
      <c r="E43" s="16">
        <f t="shared" si="3"/>
        <v>-1635.54</v>
      </c>
      <c r="F43" s="15"/>
      <c r="G43" s="16">
        <v>0</v>
      </c>
      <c r="H43" s="16">
        <v>0</v>
      </c>
      <c r="I43" s="101">
        <f t="shared" si="4"/>
        <v>0</v>
      </c>
      <c r="J43" s="9"/>
      <c r="K43" s="97"/>
      <c r="L43" s="75"/>
    </row>
    <row r="44" spans="1:12" customFormat="1" x14ac:dyDescent="0.75">
      <c r="A44" s="61" t="s">
        <v>142</v>
      </c>
      <c r="B44" s="87"/>
      <c r="C44" s="14">
        <v>382.49</v>
      </c>
      <c r="D44" s="14">
        <v>0</v>
      </c>
      <c r="E44" s="16">
        <f t="shared" si="3"/>
        <v>-382.49</v>
      </c>
      <c r="F44" s="15"/>
      <c r="G44" s="16">
        <v>0</v>
      </c>
      <c r="H44" s="16">
        <v>0</v>
      </c>
      <c r="I44" s="101">
        <f t="shared" si="4"/>
        <v>0</v>
      </c>
      <c r="J44" s="9"/>
      <c r="K44" s="97"/>
      <c r="L44" s="28"/>
    </row>
    <row r="45" spans="1:12" customFormat="1" x14ac:dyDescent="0.75">
      <c r="A45" s="61" t="s">
        <v>143</v>
      </c>
      <c r="B45" s="87"/>
      <c r="C45" s="14">
        <v>4098.7299999999996</v>
      </c>
      <c r="D45" s="14">
        <v>0</v>
      </c>
      <c r="E45" s="16">
        <f t="shared" si="3"/>
        <v>-4098.7299999999996</v>
      </c>
      <c r="F45" s="15"/>
      <c r="G45" s="16">
        <v>0</v>
      </c>
      <c r="H45" s="16">
        <v>0</v>
      </c>
      <c r="I45" s="101">
        <f t="shared" si="4"/>
        <v>0</v>
      </c>
      <c r="J45" s="9"/>
      <c r="K45" s="97"/>
      <c r="L45" s="28"/>
    </row>
    <row r="46" spans="1:12" customFormat="1" x14ac:dyDescent="0.75">
      <c r="A46" s="61" t="s">
        <v>144</v>
      </c>
      <c r="B46" s="87"/>
      <c r="C46" s="14">
        <v>1461.18</v>
      </c>
      <c r="D46" s="14">
        <v>0</v>
      </c>
      <c r="E46" s="16">
        <f t="shared" si="3"/>
        <v>-1461.18</v>
      </c>
      <c r="F46" s="15"/>
      <c r="G46" s="16">
        <v>0</v>
      </c>
      <c r="H46" s="16">
        <v>0</v>
      </c>
      <c r="I46" s="101">
        <f t="shared" si="4"/>
        <v>0</v>
      </c>
      <c r="J46" s="9"/>
      <c r="K46" s="97"/>
    </row>
    <row r="47" spans="1:12" customFormat="1" x14ac:dyDescent="0.75">
      <c r="A47" s="61" t="s">
        <v>145</v>
      </c>
      <c r="B47" s="87"/>
      <c r="C47" s="14">
        <v>572.08000000000004</v>
      </c>
      <c r="D47" s="14">
        <v>0</v>
      </c>
      <c r="E47" s="16">
        <f t="shared" si="3"/>
        <v>-572.08000000000004</v>
      </c>
      <c r="F47" s="15"/>
      <c r="G47" s="16">
        <v>0</v>
      </c>
      <c r="H47" s="16">
        <v>0</v>
      </c>
      <c r="I47" s="101">
        <f t="shared" si="4"/>
        <v>0</v>
      </c>
      <c r="J47" s="9"/>
      <c r="K47" s="97"/>
      <c r="L47" s="75"/>
    </row>
    <row r="48" spans="1:12" customFormat="1" x14ac:dyDescent="0.75">
      <c r="A48" s="61" t="s">
        <v>146</v>
      </c>
      <c r="B48" s="87"/>
      <c r="C48" s="14">
        <v>337.18</v>
      </c>
      <c r="D48" s="14">
        <v>166.66666666666666</v>
      </c>
      <c r="E48" s="16">
        <f t="shared" si="3"/>
        <v>-170.51333333333335</v>
      </c>
      <c r="F48" s="15"/>
      <c r="G48" s="16">
        <v>-79.489999999999995</v>
      </c>
      <c r="H48" s="16">
        <v>0</v>
      </c>
      <c r="I48" s="101">
        <f t="shared" si="4"/>
        <v>79.489999999999995</v>
      </c>
      <c r="J48" s="9"/>
      <c r="K48" s="97"/>
      <c r="L48" s="75"/>
    </row>
    <row r="49" spans="1:12" customFormat="1" x14ac:dyDescent="0.75">
      <c r="A49" s="61" t="s">
        <v>147</v>
      </c>
      <c r="B49" s="87"/>
      <c r="C49" s="14">
        <v>-55.94</v>
      </c>
      <c r="D49" s="14">
        <v>0</v>
      </c>
      <c r="E49" s="16">
        <f t="shared" si="3"/>
        <v>55.94</v>
      </c>
      <c r="F49" s="15"/>
      <c r="G49" s="16">
        <v>-1.66</v>
      </c>
      <c r="H49" s="16">
        <v>0</v>
      </c>
      <c r="I49" s="101">
        <f t="shared" si="4"/>
        <v>1.66</v>
      </c>
      <c r="J49" s="9"/>
      <c r="K49" s="97"/>
      <c r="L49" s="75"/>
    </row>
    <row r="50" spans="1:12" customFormat="1" x14ac:dyDescent="0.75">
      <c r="A50" s="92" t="s">
        <v>148</v>
      </c>
      <c r="B50" s="88"/>
      <c r="C50" s="57">
        <f>SUM(C40:C49)</f>
        <v>21588.05</v>
      </c>
      <c r="D50" s="57">
        <f>SUM(D40:D49)</f>
        <v>11093.418749999999</v>
      </c>
      <c r="E50" s="57">
        <f>SUM(E40:E49)</f>
        <v>-10494.631249999999</v>
      </c>
      <c r="F50" s="56"/>
      <c r="G50" s="57">
        <v>13482.57</v>
      </c>
      <c r="H50" s="57">
        <v>14304</v>
      </c>
      <c r="I50" s="102">
        <f t="shared" si="4"/>
        <v>821.43000000000029</v>
      </c>
      <c r="J50" s="9"/>
      <c r="K50" s="110" t="s">
        <v>263</v>
      </c>
      <c r="L50" s="75"/>
    </row>
    <row r="51" spans="1:12" customFormat="1" x14ac:dyDescent="0.75">
      <c r="A51" s="96" t="s">
        <v>149</v>
      </c>
      <c r="B51" s="87"/>
      <c r="C51" s="16"/>
      <c r="D51" s="16"/>
      <c r="E51" s="16"/>
      <c r="F51" s="18"/>
      <c r="G51" s="20"/>
      <c r="H51" s="20"/>
      <c r="I51" s="103"/>
      <c r="J51" s="19"/>
      <c r="K51" s="111"/>
      <c r="L51" s="75"/>
    </row>
    <row r="52" spans="1:12" customFormat="1" x14ac:dyDescent="0.75">
      <c r="A52" s="91" t="s">
        <v>150</v>
      </c>
      <c r="B52" s="87"/>
      <c r="C52" s="14">
        <v>12675.18</v>
      </c>
      <c r="D52" s="14">
        <v>32064</v>
      </c>
      <c r="E52" s="16">
        <f t="shared" ref="E52:E58" si="5">D52-C52</f>
        <v>19388.82</v>
      </c>
      <c r="F52" s="15"/>
      <c r="G52" s="16">
        <v>7498.83</v>
      </c>
      <c r="H52" s="16">
        <v>11375</v>
      </c>
      <c r="I52" s="101">
        <f t="shared" ref="I52:I59" si="6">H52-G52</f>
        <v>3876.17</v>
      </c>
      <c r="J52" s="9"/>
      <c r="K52" s="97" t="s">
        <v>290</v>
      </c>
      <c r="L52" s="75"/>
    </row>
    <row r="53" spans="1:12" customFormat="1" x14ac:dyDescent="0.75">
      <c r="A53" s="61" t="s">
        <v>151</v>
      </c>
      <c r="B53" s="87"/>
      <c r="C53" s="14">
        <v>455.44</v>
      </c>
      <c r="D53" s="14">
        <v>0</v>
      </c>
      <c r="E53" s="16">
        <f t="shared" si="5"/>
        <v>-455.44</v>
      </c>
      <c r="F53" s="15"/>
      <c r="G53" s="16">
        <v>446.49</v>
      </c>
      <c r="H53" s="16">
        <v>0</v>
      </c>
      <c r="I53" s="101">
        <f t="shared" si="6"/>
        <v>-446.49</v>
      </c>
      <c r="J53" s="9"/>
      <c r="K53" s="97"/>
    </row>
    <row r="54" spans="1:12" s="134" customFormat="1" x14ac:dyDescent="0.75">
      <c r="A54" s="135" t="s">
        <v>169</v>
      </c>
      <c r="B54" s="87"/>
      <c r="C54" s="14">
        <v>151.52000000000001</v>
      </c>
      <c r="D54" s="14">
        <v>0</v>
      </c>
      <c r="E54" s="16">
        <f t="shared" si="5"/>
        <v>-151.52000000000001</v>
      </c>
      <c r="F54" s="15"/>
      <c r="G54" s="16">
        <v>103.32</v>
      </c>
      <c r="H54" s="16">
        <v>0</v>
      </c>
      <c r="I54" s="101">
        <f t="shared" si="6"/>
        <v>-103.32</v>
      </c>
      <c r="J54" s="9"/>
      <c r="K54" s="97"/>
      <c r="L54" s="75"/>
    </row>
    <row r="55" spans="1:12" customFormat="1" x14ac:dyDescent="0.75">
      <c r="A55" s="61" t="s">
        <v>152</v>
      </c>
      <c r="B55" s="87"/>
      <c r="C55" s="14">
        <v>0</v>
      </c>
      <c r="D55" s="14">
        <v>10368</v>
      </c>
      <c r="E55" s="16">
        <f t="shared" si="5"/>
        <v>10368</v>
      </c>
      <c r="F55" s="15"/>
      <c r="G55" s="16">
        <v>0</v>
      </c>
      <c r="H55" s="16">
        <v>1688</v>
      </c>
      <c r="I55" s="101">
        <f t="shared" si="6"/>
        <v>1688</v>
      </c>
      <c r="J55" s="9"/>
      <c r="K55" s="97"/>
    </row>
    <row r="56" spans="1:12" s="134" customFormat="1" x14ac:dyDescent="0.75">
      <c r="A56" s="135" t="s">
        <v>170</v>
      </c>
      <c r="B56" s="87"/>
      <c r="C56" s="14">
        <v>3076.68</v>
      </c>
      <c r="D56" s="14">
        <v>1889.9062948717947</v>
      </c>
      <c r="E56" s="16">
        <f t="shared" si="5"/>
        <v>-1186.7737051282052</v>
      </c>
      <c r="F56" s="15"/>
      <c r="G56" s="16">
        <v>631.58000000000004</v>
      </c>
      <c r="H56" s="16">
        <v>0</v>
      </c>
      <c r="I56" s="101">
        <f t="shared" si="6"/>
        <v>-631.58000000000004</v>
      </c>
      <c r="J56" s="9"/>
      <c r="K56" s="97"/>
    </row>
    <row r="57" spans="1:12" s="148" customFormat="1" x14ac:dyDescent="0.75">
      <c r="A57" s="151" t="s">
        <v>199</v>
      </c>
      <c r="B57" s="87"/>
      <c r="C57" s="14">
        <v>-44.25</v>
      </c>
      <c r="D57" s="14">
        <v>0</v>
      </c>
      <c r="E57" s="16">
        <f t="shared" si="5"/>
        <v>44.25</v>
      </c>
      <c r="F57" s="15"/>
      <c r="G57" s="16">
        <v>264</v>
      </c>
      <c r="H57" s="16">
        <v>0</v>
      </c>
      <c r="I57" s="101">
        <f t="shared" si="6"/>
        <v>-264</v>
      </c>
      <c r="J57" s="9"/>
      <c r="K57" s="97"/>
    </row>
    <row r="58" spans="1:12" customFormat="1" x14ac:dyDescent="0.75">
      <c r="A58" s="92" t="s">
        <v>153</v>
      </c>
      <c r="B58" s="88"/>
      <c r="C58" s="57">
        <f>SUM(C52:C57)</f>
        <v>16314.570000000002</v>
      </c>
      <c r="D58" s="57">
        <f>SUM(D52:D57)</f>
        <v>44321.906294871791</v>
      </c>
      <c r="E58" s="57">
        <f t="shared" si="5"/>
        <v>28007.336294871791</v>
      </c>
      <c r="F58" s="56"/>
      <c r="G58" s="57">
        <v>8944.2199999999993</v>
      </c>
      <c r="H58" s="57">
        <v>13063</v>
      </c>
      <c r="I58" s="102">
        <f t="shared" si="6"/>
        <v>4118.7800000000007</v>
      </c>
      <c r="J58" s="9"/>
      <c r="K58" s="97"/>
      <c r="L58" s="75"/>
    </row>
    <row r="59" spans="1:12" customFormat="1" x14ac:dyDescent="0.75">
      <c r="A59" s="93" t="s">
        <v>154</v>
      </c>
      <c r="B59" s="89"/>
      <c r="C59" s="76">
        <f>C29+C38+C50+C58</f>
        <v>146581.75</v>
      </c>
      <c r="D59" s="76">
        <f>D29+D38+D50+D58</f>
        <v>181736.15837820515</v>
      </c>
      <c r="E59" s="76">
        <f>D59-C59</f>
        <v>35154.408378205146</v>
      </c>
      <c r="F59" s="83"/>
      <c r="G59" s="76">
        <v>172078.5</v>
      </c>
      <c r="H59" s="76">
        <v>196117</v>
      </c>
      <c r="I59" s="104">
        <f t="shared" si="6"/>
        <v>24038.5</v>
      </c>
      <c r="J59" s="9"/>
      <c r="K59" s="110"/>
      <c r="L59" s="75"/>
    </row>
    <row r="60" spans="1:12" customFormat="1" x14ac:dyDescent="0.75">
      <c r="A60" s="91" t="s">
        <v>67</v>
      </c>
      <c r="B60" s="87"/>
      <c r="C60" s="14"/>
      <c r="D60" s="14"/>
      <c r="E60" s="16"/>
      <c r="F60" s="15"/>
      <c r="G60" s="16"/>
      <c r="H60" s="16"/>
      <c r="I60" s="101"/>
      <c r="J60" s="9"/>
      <c r="K60" s="97"/>
      <c r="L60" s="75"/>
    </row>
    <row r="61" spans="1:12" customFormat="1" x14ac:dyDescent="0.75">
      <c r="A61" s="91" t="s">
        <v>68</v>
      </c>
      <c r="B61" s="87"/>
      <c r="C61" s="14">
        <v>0</v>
      </c>
      <c r="D61" s="14"/>
      <c r="E61" s="16">
        <f t="shared" ref="E61:E69" si="7">D61-C61</f>
        <v>0</v>
      </c>
      <c r="F61" s="15"/>
      <c r="G61" s="16">
        <v>2000</v>
      </c>
      <c r="H61" s="16">
        <v>4900</v>
      </c>
      <c r="I61" s="101">
        <f t="shared" ref="I61:I70" si="8">H61-G61</f>
        <v>2900</v>
      </c>
      <c r="J61" s="9"/>
      <c r="K61" s="97"/>
      <c r="L61" s="75"/>
    </row>
    <row r="62" spans="1:12" customFormat="1" x14ac:dyDescent="0.75">
      <c r="A62" s="91" t="s">
        <v>69</v>
      </c>
      <c r="B62" s="87"/>
      <c r="C62" s="14">
        <v>3255</v>
      </c>
      <c r="D62" s="14">
        <v>3360</v>
      </c>
      <c r="E62" s="16">
        <f t="shared" si="7"/>
        <v>105</v>
      </c>
      <c r="F62" s="15"/>
      <c r="G62" s="16">
        <v>671.19</v>
      </c>
      <c r="H62" s="16">
        <v>1680</v>
      </c>
      <c r="I62" s="101">
        <f t="shared" si="8"/>
        <v>1008.81</v>
      </c>
      <c r="J62" s="9"/>
      <c r="K62" s="97"/>
      <c r="L62" s="75"/>
    </row>
    <row r="63" spans="1:12" customFormat="1" x14ac:dyDescent="0.75">
      <c r="A63" s="91" t="s">
        <v>70</v>
      </c>
      <c r="B63" s="87"/>
      <c r="C63" s="14">
        <v>13978.75</v>
      </c>
      <c r="D63" s="14">
        <v>9127.5</v>
      </c>
      <c r="E63" s="16">
        <f t="shared" si="7"/>
        <v>-4851.25</v>
      </c>
      <c r="F63" s="15"/>
      <c r="G63" s="16">
        <v>25000</v>
      </c>
      <c r="H63" s="16">
        <v>24999</v>
      </c>
      <c r="I63" s="101">
        <f t="shared" si="8"/>
        <v>-1</v>
      </c>
      <c r="J63" s="19"/>
      <c r="K63" s="97" t="s">
        <v>265</v>
      </c>
      <c r="L63" s="75"/>
    </row>
    <row r="64" spans="1:12" customFormat="1" x14ac:dyDescent="0.75">
      <c r="A64" s="91" t="s">
        <v>71</v>
      </c>
      <c r="B64" s="87"/>
      <c r="C64" s="14"/>
      <c r="D64" s="14">
        <v>833.33333333333337</v>
      </c>
      <c r="E64" s="16">
        <f t="shared" si="7"/>
        <v>833.33333333333337</v>
      </c>
      <c r="F64" s="15"/>
      <c r="G64" s="16">
        <v>475</v>
      </c>
      <c r="H64" s="16">
        <v>5000</v>
      </c>
      <c r="I64" s="101">
        <f t="shared" si="8"/>
        <v>4525</v>
      </c>
      <c r="J64" s="19"/>
      <c r="K64" s="97"/>
    </row>
    <row r="65" spans="1:12" s="137" customFormat="1" x14ac:dyDescent="0.75">
      <c r="A65" s="91" t="s">
        <v>177</v>
      </c>
      <c r="B65" s="87"/>
      <c r="C65" s="14">
        <v>-4000</v>
      </c>
      <c r="D65" s="14">
        <v>10500</v>
      </c>
      <c r="E65" s="16">
        <f t="shared" ref="E65" si="9">D65-C65</f>
        <v>14500</v>
      </c>
      <c r="F65" s="15"/>
      <c r="G65" s="16">
        <v>0</v>
      </c>
      <c r="H65" s="16">
        <v>0</v>
      </c>
      <c r="I65" s="101">
        <f t="shared" si="8"/>
        <v>0</v>
      </c>
      <c r="J65" s="19"/>
      <c r="K65" s="97" t="s">
        <v>266</v>
      </c>
    </row>
    <row r="66" spans="1:12" customFormat="1" x14ac:dyDescent="0.75">
      <c r="A66" s="91" t="s">
        <v>72</v>
      </c>
      <c r="B66" s="87"/>
      <c r="C66" s="14"/>
      <c r="D66" s="14"/>
      <c r="E66" s="16">
        <f t="shared" si="7"/>
        <v>0</v>
      </c>
      <c r="F66" s="15"/>
      <c r="G66" s="16">
        <v>3000</v>
      </c>
      <c r="H66" s="16">
        <v>3000</v>
      </c>
      <c r="I66" s="101">
        <f t="shared" si="8"/>
        <v>0</v>
      </c>
      <c r="J66" s="9"/>
      <c r="K66" s="97"/>
    </row>
    <row r="67" spans="1:12" customFormat="1" x14ac:dyDescent="0.75">
      <c r="A67" s="91" t="s">
        <v>108</v>
      </c>
      <c r="B67" s="87"/>
      <c r="C67" s="14"/>
      <c r="D67" s="14"/>
      <c r="E67" s="16">
        <f t="shared" si="7"/>
        <v>0</v>
      </c>
      <c r="F67" s="15"/>
      <c r="G67" s="16">
        <v>14000</v>
      </c>
      <c r="H67" s="16">
        <v>14000</v>
      </c>
      <c r="I67" s="101">
        <f t="shared" si="8"/>
        <v>0</v>
      </c>
      <c r="J67" s="9"/>
      <c r="K67" s="97"/>
      <c r="L67" s="75"/>
    </row>
    <row r="68" spans="1:12" s="149" customFormat="1" x14ac:dyDescent="0.75">
      <c r="A68" s="91" t="s">
        <v>264</v>
      </c>
      <c r="B68" s="87"/>
      <c r="C68" s="14"/>
      <c r="D68" s="14">
        <v>416.66666666666669</v>
      </c>
      <c r="E68" s="16">
        <f t="shared" si="7"/>
        <v>416.66666666666669</v>
      </c>
      <c r="F68" s="15"/>
      <c r="G68" s="16"/>
      <c r="H68" s="16"/>
      <c r="I68" s="101"/>
      <c r="J68" s="9"/>
      <c r="K68" s="97"/>
      <c r="L68" s="75"/>
    </row>
    <row r="69" spans="1:12" customFormat="1" x14ac:dyDescent="0.75">
      <c r="A69" s="91" t="s">
        <v>73</v>
      </c>
      <c r="B69" s="87"/>
      <c r="C69" s="14">
        <v>380</v>
      </c>
      <c r="D69" s="14">
        <v>10000</v>
      </c>
      <c r="E69" s="16">
        <f t="shared" si="7"/>
        <v>9620</v>
      </c>
      <c r="F69" s="15"/>
      <c r="G69" s="16">
        <v>6480</v>
      </c>
      <c r="H69" s="16">
        <v>10000</v>
      </c>
      <c r="I69" s="101">
        <f t="shared" si="8"/>
        <v>3520</v>
      </c>
      <c r="J69" s="9"/>
      <c r="K69" s="97" t="s">
        <v>291</v>
      </c>
      <c r="L69" s="75"/>
    </row>
    <row r="70" spans="1:12" customFormat="1" ht="22.25" x14ac:dyDescent="0.75">
      <c r="A70" s="92" t="s">
        <v>74</v>
      </c>
      <c r="B70" s="88"/>
      <c r="C70" s="57">
        <f>SUM(C61:C69)</f>
        <v>13613.75</v>
      </c>
      <c r="D70" s="57">
        <f>SUM(D61:D69)</f>
        <v>34237.5</v>
      </c>
      <c r="E70" s="57">
        <f>SUM(E61:E69)</f>
        <v>20623.75</v>
      </c>
      <c r="F70" s="56"/>
      <c r="G70" s="57">
        <v>51626.19</v>
      </c>
      <c r="H70" s="57">
        <v>63579</v>
      </c>
      <c r="I70" s="102">
        <f t="shared" si="8"/>
        <v>11952.809999999998</v>
      </c>
      <c r="J70" s="9"/>
      <c r="K70" s="110"/>
      <c r="L70" s="75"/>
    </row>
    <row r="71" spans="1:12" s="79" customFormat="1" x14ac:dyDescent="0.75">
      <c r="A71" s="91" t="s">
        <v>75</v>
      </c>
      <c r="B71" s="87"/>
      <c r="C71" s="14"/>
      <c r="D71" s="14"/>
      <c r="E71" s="16"/>
      <c r="F71" s="15"/>
      <c r="G71" s="16"/>
      <c r="H71" s="16"/>
      <c r="I71" s="101"/>
      <c r="J71" s="9"/>
      <c r="K71" s="97"/>
      <c r="L71" s="75"/>
    </row>
    <row r="72" spans="1:12" customFormat="1" x14ac:dyDescent="0.75">
      <c r="A72" s="91" t="s">
        <v>109</v>
      </c>
      <c r="B72" s="87"/>
      <c r="C72" s="14">
        <v>0</v>
      </c>
      <c r="D72" s="14">
        <v>166.66666666666666</v>
      </c>
      <c r="E72" s="16">
        <f>D72-C72</f>
        <v>166.66666666666666</v>
      </c>
      <c r="F72" s="15"/>
      <c r="G72" s="16">
        <v>0</v>
      </c>
      <c r="H72" s="16">
        <v>5000</v>
      </c>
      <c r="I72" s="101">
        <f>H72-G72</f>
        <v>5000</v>
      </c>
      <c r="J72" s="9"/>
      <c r="K72" s="97"/>
      <c r="L72" s="75"/>
    </row>
    <row r="73" spans="1:12" s="149" customFormat="1" x14ac:dyDescent="0.75">
      <c r="A73" s="91" t="s">
        <v>267</v>
      </c>
      <c r="B73" s="87"/>
      <c r="C73" s="14">
        <v>333.37</v>
      </c>
      <c r="D73" s="14">
        <v>416.66666666666669</v>
      </c>
      <c r="E73" s="16">
        <f>D73-C73</f>
        <v>83.296666666666681</v>
      </c>
      <c r="F73" s="15"/>
      <c r="G73" s="16"/>
      <c r="H73" s="16"/>
      <c r="I73" s="101"/>
      <c r="J73" s="9"/>
      <c r="K73" s="97" t="s">
        <v>292</v>
      </c>
      <c r="L73" s="75"/>
    </row>
    <row r="74" spans="1:12" s="80" customFormat="1" x14ac:dyDescent="0.75">
      <c r="A74" s="92" t="s">
        <v>76</v>
      </c>
      <c r="B74" s="88"/>
      <c r="C74" s="57">
        <f>SUM(C72:C73)</f>
        <v>333.37</v>
      </c>
      <c r="D74" s="57">
        <f>SUM(D72:D73)</f>
        <v>583.33333333333337</v>
      </c>
      <c r="E74" s="57">
        <f>SUM(E72:E73)</f>
        <v>249.96333333333334</v>
      </c>
      <c r="F74" s="56"/>
      <c r="G74" s="57">
        <v>0</v>
      </c>
      <c r="H74" s="57">
        <v>5000</v>
      </c>
      <c r="I74" s="102">
        <f>H74-G74</f>
        <v>5000</v>
      </c>
      <c r="J74" s="9"/>
      <c r="K74" s="110"/>
      <c r="L74" s="75"/>
    </row>
    <row r="75" spans="1:12" s="133" customFormat="1" x14ac:dyDescent="0.75">
      <c r="A75" s="91" t="s">
        <v>166</v>
      </c>
      <c r="B75" s="87"/>
      <c r="C75" s="14"/>
      <c r="D75" s="14"/>
      <c r="E75" s="16"/>
      <c r="F75" s="15"/>
      <c r="G75" s="16"/>
      <c r="H75" s="16"/>
      <c r="I75" s="101"/>
      <c r="J75" s="9"/>
      <c r="K75" s="97"/>
      <c r="L75" s="75"/>
    </row>
    <row r="76" spans="1:12" s="133" customFormat="1" x14ac:dyDescent="0.75">
      <c r="A76" s="91" t="s">
        <v>167</v>
      </c>
      <c r="B76" s="87"/>
      <c r="C76" s="14">
        <v>11621.13</v>
      </c>
      <c r="D76" s="14">
        <v>7500</v>
      </c>
      <c r="E76" s="16">
        <f>D76-C76</f>
        <v>-4121.1299999999992</v>
      </c>
      <c r="F76" s="15"/>
      <c r="G76" s="16">
        <v>8.99</v>
      </c>
      <c r="H76" s="16">
        <v>0</v>
      </c>
      <c r="I76" s="101">
        <f>H76-G76</f>
        <v>-8.99</v>
      </c>
      <c r="J76" s="9"/>
      <c r="K76" s="97" t="s">
        <v>293</v>
      </c>
      <c r="L76" s="75"/>
    </row>
    <row r="77" spans="1:12" s="149" customFormat="1" x14ac:dyDescent="0.75">
      <c r="A77" s="91" t="s">
        <v>268</v>
      </c>
      <c r="B77" s="87"/>
      <c r="C77" s="14"/>
      <c r="D77" s="14">
        <v>1000</v>
      </c>
      <c r="E77" s="16">
        <f t="shared" ref="E77:E79" si="10">D77-C77</f>
        <v>1000</v>
      </c>
      <c r="F77" s="15"/>
      <c r="G77" s="16"/>
      <c r="H77" s="16"/>
      <c r="I77" s="101"/>
      <c r="J77" s="9"/>
      <c r="K77" s="97"/>
      <c r="L77" s="75"/>
    </row>
    <row r="78" spans="1:12" s="149" customFormat="1" x14ac:dyDescent="0.75">
      <c r="A78" s="91" t="s">
        <v>269</v>
      </c>
      <c r="B78" s="87"/>
      <c r="C78" s="14"/>
      <c r="D78" s="14">
        <v>1000</v>
      </c>
      <c r="E78" s="16">
        <f t="shared" si="10"/>
        <v>1000</v>
      </c>
      <c r="F78" s="15"/>
      <c r="G78" s="16"/>
      <c r="H78" s="16"/>
      <c r="I78" s="101"/>
      <c r="J78" s="9"/>
      <c r="K78" s="97"/>
      <c r="L78" s="75"/>
    </row>
    <row r="79" spans="1:12" s="149" customFormat="1" x14ac:dyDescent="0.75">
      <c r="A79" s="91" t="s">
        <v>270</v>
      </c>
      <c r="B79" s="87"/>
      <c r="C79" s="14"/>
      <c r="D79" s="14">
        <v>1000</v>
      </c>
      <c r="E79" s="16">
        <f t="shared" si="10"/>
        <v>1000</v>
      </c>
      <c r="F79" s="15"/>
      <c r="G79" s="16"/>
      <c r="H79" s="16"/>
      <c r="I79" s="101"/>
      <c r="J79" s="9"/>
      <c r="K79" s="97"/>
      <c r="L79" s="75"/>
    </row>
    <row r="80" spans="1:12" s="133" customFormat="1" ht="22.25" x14ac:dyDescent="0.75">
      <c r="A80" s="92" t="s">
        <v>168</v>
      </c>
      <c r="B80" s="88"/>
      <c r="C80" s="57">
        <f>SUM(C76:C79)</f>
        <v>11621.13</v>
      </c>
      <c r="D80" s="57">
        <f>SUM(D76:D79)</f>
        <v>10500</v>
      </c>
      <c r="E80" s="57">
        <f>SUM(E76:E79)</f>
        <v>-1121.1299999999992</v>
      </c>
      <c r="F80" s="56"/>
      <c r="G80" s="57">
        <v>8.99</v>
      </c>
      <c r="H80" s="57">
        <v>0</v>
      </c>
      <c r="I80" s="102">
        <f>H80-G80</f>
        <v>-8.99</v>
      </c>
      <c r="J80" s="9"/>
      <c r="K80" s="110"/>
      <c r="L80" s="75"/>
    </row>
    <row r="81" spans="1:12" s="149" customFormat="1" x14ac:dyDescent="0.75">
      <c r="A81" s="91" t="s">
        <v>272</v>
      </c>
      <c r="B81" s="87"/>
      <c r="C81" s="14"/>
      <c r="D81" s="14"/>
      <c r="E81" s="16"/>
      <c r="F81" s="15"/>
      <c r="G81" s="16"/>
      <c r="H81" s="16"/>
      <c r="I81" s="101"/>
      <c r="J81" s="9"/>
      <c r="K81" s="97"/>
      <c r="L81" s="75"/>
    </row>
    <row r="82" spans="1:12" s="149" customFormat="1" x14ac:dyDescent="0.75">
      <c r="A82" s="135" t="s">
        <v>273</v>
      </c>
      <c r="B82" s="87"/>
      <c r="C82" s="14"/>
      <c r="D82" s="14">
        <v>6000</v>
      </c>
      <c r="E82" s="16">
        <f t="shared" ref="E82:E83" si="11">D82-C82</f>
        <v>6000</v>
      </c>
      <c r="F82" s="15"/>
      <c r="G82" s="16"/>
      <c r="H82" s="16"/>
      <c r="I82" s="101"/>
      <c r="J82" s="9"/>
      <c r="K82" s="97"/>
      <c r="L82" s="75"/>
    </row>
    <row r="83" spans="1:12" s="149" customFormat="1" x14ac:dyDescent="0.75">
      <c r="A83" s="135" t="s">
        <v>274</v>
      </c>
      <c r="B83" s="87"/>
      <c r="C83" s="14">
        <v>461.63</v>
      </c>
      <c r="D83" s="14">
        <v>6250</v>
      </c>
      <c r="E83" s="16">
        <f t="shared" si="11"/>
        <v>5788.37</v>
      </c>
      <c r="F83" s="15"/>
      <c r="G83" s="16"/>
      <c r="H83" s="16"/>
      <c r="I83" s="101"/>
      <c r="J83" s="9"/>
      <c r="K83" s="97" t="s">
        <v>294</v>
      </c>
      <c r="L83" s="75"/>
    </row>
    <row r="84" spans="1:12" s="149" customFormat="1" x14ac:dyDescent="0.75">
      <c r="A84" s="92" t="s">
        <v>271</v>
      </c>
      <c r="B84" s="88"/>
      <c r="C84" s="57">
        <f>SUM(C82:C83)</f>
        <v>461.63</v>
      </c>
      <c r="D84" s="57">
        <f>SUM(D82:D83)</f>
        <v>12250</v>
      </c>
      <c r="E84" s="57">
        <f>SUM(E82:E83)</f>
        <v>11788.369999999999</v>
      </c>
      <c r="F84" s="56"/>
      <c r="G84" s="57"/>
      <c r="H84" s="57"/>
      <c r="I84" s="102"/>
      <c r="J84" s="9"/>
      <c r="K84" s="110"/>
      <c r="L84" s="75"/>
    </row>
    <row r="85" spans="1:12" s="149" customFormat="1" x14ac:dyDescent="0.75">
      <c r="A85" s="92" t="s">
        <v>276</v>
      </c>
      <c r="B85" s="88"/>
      <c r="C85" s="57">
        <v>0</v>
      </c>
      <c r="D85" s="57">
        <v>1477.2727272727273</v>
      </c>
      <c r="E85" s="57">
        <f>D85-C85</f>
        <v>1477.2727272727273</v>
      </c>
      <c r="F85" s="56"/>
      <c r="G85" s="57"/>
      <c r="H85" s="57"/>
      <c r="I85" s="102"/>
      <c r="J85" s="9"/>
      <c r="K85" s="110"/>
      <c r="L85" s="75"/>
    </row>
    <row r="86" spans="1:12" s="132" customFormat="1" x14ac:dyDescent="0.75">
      <c r="A86" s="91" t="s">
        <v>161</v>
      </c>
      <c r="B86" s="87"/>
      <c r="C86" s="14"/>
      <c r="D86" s="14"/>
      <c r="E86" s="16"/>
      <c r="F86" s="15"/>
      <c r="G86" s="16"/>
      <c r="H86" s="16"/>
      <c r="I86" s="101"/>
      <c r="J86" s="9"/>
      <c r="K86" s="97"/>
      <c r="L86" s="75"/>
    </row>
    <row r="87" spans="1:12" s="149" customFormat="1" x14ac:dyDescent="0.75">
      <c r="A87" s="176" t="s">
        <v>275</v>
      </c>
      <c r="B87" s="87"/>
      <c r="C87" s="14"/>
      <c r="D87" s="14">
        <v>2552</v>
      </c>
      <c r="E87" s="16">
        <f>D87-C87</f>
        <v>2552</v>
      </c>
      <c r="F87" s="15"/>
      <c r="G87" s="16"/>
      <c r="H87" s="16"/>
      <c r="I87" s="101"/>
      <c r="J87" s="9"/>
      <c r="K87" s="97"/>
      <c r="L87" s="75"/>
    </row>
    <row r="88" spans="1:12" s="134" customFormat="1" x14ac:dyDescent="0.75">
      <c r="A88" s="135" t="s">
        <v>171</v>
      </c>
      <c r="B88" s="87"/>
      <c r="C88" s="14">
        <v>879.86</v>
      </c>
      <c r="D88" s="14">
        <v>333.33333333333331</v>
      </c>
      <c r="E88" s="16">
        <f>D88-C88</f>
        <v>-546.52666666666664</v>
      </c>
      <c r="F88" s="15"/>
      <c r="G88" s="16">
        <v>4627.29</v>
      </c>
      <c r="H88" s="16">
        <v>0</v>
      </c>
      <c r="I88" s="101">
        <f>H88-G88</f>
        <v>-4627.29</v>
      </c>
      <c r="J88" s="9"/>
      <c r="K88" s="97"/>
      <c r="L88" s="75"/>
    </row>
    <row r="89" spans="1:12" s="148" customFormat="1" x14ac:dyDescent="0.75">
      <c r="A89" s="151" t="s">
        <v>200</v>
      </c>
      <c r="B89" s="87"/>
      <c r="C89" s="14"/>
      <c r="D89" s="14">
        <v>333.33333333333331</v>
      </c>
      <c r="E89" s="16">
        <f>D89-C89</f>
        <v>333.33333333333331</v>
      </c>
      <c r="F89" s="15"/>
      <c r="G89" s="16">
        <v>6019.87</v>
      </c>
      <c r="H89" s="16">
        <v>0</v>
      </c>
      <c r="I89" s="101">
        <f>H89-G89</f>
        <v>-6019.87</v>
      </c>
      <c r="J89" s="9"/>
      <c r="K89" s="97"/>
      <c r="L89" s="75"/>
    </row>
    <row r="90" spans="1:12" s="132" customFormat="1" x14ac:dyDescent="0.75">
      <c r="A90" s="91" t="s">
        <v>162</v>
      </c>
      <c r="B90" s="87"/>
      <c r="C90" s="14">
        <v>120</v>
      </c>
      <c r="D90" s="14">
        <v>333.33333333333331</v>
      </c>
      <c r="E90" s="16">
        <f>D90-C90</f>
        <v>213.33333333333331</v>
      </c>
      <c r="F90" s="15"/>
      <c r="G90" s="16">
        <v>3394.96</v>
      </c>
      <c r="H90" s="16">
        <v>0</v>
      </c>
      <c r="I90" s="101">
        <f>H90-G90</f>
        <v>-3394.96</v>
      </c>
      <c r="J90" s="9"/>
      <c r="K90" s="97"/>
      <c r="L90" s="75"/>
    </row>
    <row r="91" spans="1:12" s="148" customFormat="1" x14ac:dyDescent="0.75">
      <c r="A91" s="61" t="s">
        <v>201</v>
      </c>
      <c r="B91" s="87"/>
      <c r="C91" s="14">
        <v>5245.28</v>
      </c>
      <c r="D91" s="14">
        <v>333.33333333333331</v>
      </c>
      <c r="E91" s="16">
        <f>D91-C91</f>
        <v>-4911.9466666666667</v>
      </c>
      <c r="F91" s="15"/>
      <c r="G91" s="16">
        <v>2760.37</v>
      </c>
      <c r="H91" s="16"/>
      <c r="I91" s="101">
        <f>H91-G91</f>
        <v>-2760.37</v>
      </c>
      <c r="J91" s="9"/>
      <c r="K91" s="97" t="s">
        <v>295</v>
      </c>
      <c r="L91" s="75"/>
    </row>
    <row r="92" spans="1:12" s="132" customFormat="1" x14ac:dyDescent="0.75">
      <c r="A92" s="92" t="s">
        <v>163</v>
      </c>
      <c r="B92" s="88"/>
      <c r="C92" s="57">
        <f>SUM(C87:C91)</f>
        <v>6245.1399999999994</v>
      </c>
      <c r="D92" s="57">
        <f>SUM(D87:D91)</f>
        <v>3885.3333333333339</v>
      </c>
      <c r="E92" s="57">
        <f>SUM(E87:E91)</f>
        <v>-2359.8066666666664</v>
      </c>
      <c r="F92" s="56"/>
      <c r="G92" s="57">
        <v>16802.489999999998</v>
      </c>
      <c r="H92" s="57">
        <v>0</v>
      </c>
      <c r="I92" s="102">
        <f>H92-G92</f>
        <v>-16802.489999999998</v>
      </c>
      <c r="J92" s="9"/>
      <c r="K92" s="110"/>
      <c r="L92" s="75"/>
    </row>
    <row r="93" spans="1:12" s="149" customFormat="1" x14ac:dyDescent="0.75">
      <c r="A93" s="91" t="s">
        <v>278</v>
      </c>
      <c r="B93" s="87"/>
      <c r="C93" s="14"/>
      <c r="D93" s="14"/>
      <c r="E93" s="16"/>
      <c r="F93" s="15"/>
      <c r="G93" s="16"/>
      <c r="H93" s="16"/>
      <c r="I93" s="101"/>
      <c r="J93" s="9"/>
      <c r="K93" s="97"/>
      <c r="L93" s="75"/>
    </row>
    <row r="94" spans="1:12" s="149" customFormat="1" x14ac:dyDescent="0.75">
      <c r="A94" s="135" t="s">
        <v>279</v>
      </c>
      <c r="B94" s="87"/>
      <c r="C94" s="14">
        <v>4020.23</v>
      </c>
      <c r="D94" s="14">
        <v>1415.3333333333333</v>
      </c>
      <c r="E94" s="16">
        <f>D94-C94</f>
        <v>-2604.8966666666665</v>
      </c>
      <c r="F94" s="15"/>
      <c r="G94" s="16"/>
      <c r="H94" s="16"/>
      <c r="I94" s="101"/>
      <c r="J94" s="9"/>
      <c r="K94" s="97" t="s">
        <v>296</v>
      </c>
      <c r="L94" s="75"/>
    </row>
    <row r="95" spans="1:12" s="149" customFormat="1" x14ac:dyDescent="0.75">
      <c r="A95" s="92" t="s">
        <v>277</v>
      </c>
      <c r="B95" s="88"/>
      <c r="C95" s="57">
        <f>SUM(C94)</f>
        <v>4020.23</v>
      </c>
      <c r="D95" s="57">
        <f>SUM(D94)</f>
        <v>1415.3333333333333</v>
      </c>
      <c r="E95" s="57">
        <f>SUM(E94)</f>
        <v>-2604.8966666666665</v>
      </c>
      <c r="F95" s="56"/>
      <c r="G95" s="57"/>
      <c r="H95" s="57"/>
      <c r="I95" s="102"/>
      <c r="J95" s="9"/>
      <c r="K95" s="110"/>
      <c r="L95" s="75"/>
    </row>
    <row r="96" spans="1:12" customFormat="1" x14ac:dyDescent="0.75">
      <c r="A96" s="91" t="s">
        <v>77</v>
      </c>
      <c r="B96" s="87"/>
      <c r="C96" s="14"/>
      <c r="D96" s="14"/>
      <c r="E96" s="16"/>
      <c r="F96" s="15"/>
      <c r="G96" s="16"/>
      <c r="H96" s="16"/>
      <c r="I96" s="101"/>
      <c r="J96" s="9"/>
      <c r="K96" s="97"/>
      <c r="L96" s="75"/>
    </row>
    <row r="97" spans="1:12" s="149" customFormat="1" x14ac:dyDescent="0.75">
      <c r="A97" s="176" t="s">
        <v>280</v>
      </c>
      <c r="B97" s="87"/>
      <c r="C97" s="14"/>
      <c r="D97" s="14">
        <v>5100</v>
      </c>
      <c r="E97" s="16">
        <f>D97-C97</f>
        <v>5100</v>
      </c>
      <c r="F97" s="15"/>
      <c r="G97" s="16"/>
      <c r="H97" s="16"/>
      <c r="I97" s="101"/>
      <c r="J97" s="9"/>
      <c r="K97" s="97"/>
      <c r="L97" s="75"/>
    </row>
    <row r="98" spans="1:12" s="134" customFormat="1" x14ac:dyDescent="0.75">
      <c r="A98" s="135" t="s">
        <v>172</v>
      </c>
      <c r="B98" s="87"/>
      <c r="C98" s="14">
        <v>14006.5</v>
      </c>
      <c r="D98" s="14">
        <v>7533.333333333333</v>
      </c>
      <c r="E98" s="16">
        <f>D98-C98</f>
        <v>-6473.166666666667</v>
      </c>
      <c r="F98" s="15"/>
      <c r="G98" s="16">
        <v>277</v>
      </c>
      <c r="H98" s="16">
        <v>0</v>
      </c>
      <c r="I98" s="101">
        <f>H98-G98</f>
        <v>-277</v>
      </c>
      <c r="J98" s="9"/>
      <c r="K98" s="97" t="s">
        <v>297</v>
      </c>
      <c r="L98" s="75"/>
    </row>
    <row r="99" spans="1:12" customFormat="1" x14ac:dyDescent="0.75">
      <c r="A99" s="94" t="s">
        <v>78</v>
      </c>
      <c r="B99" s="87"/>
      <c r="C99" s="14">
        <v>125</v>
      </c>
      <c r="D99" s="14">
        <v>333.33333333333331</v>
      </c>
      <c r="E99" s="16">
        <f>D99-C99</f>
        <v>208.33333333333331</v>
      </c>
      <c r="F99" s="15"/>
      <c r="G99" s="16">
        <v>4142.32</v>
      </c>
      <c r="H99" s="16">
        <v>3000</v>
      </c>
      <c r="I99" s="101">
        <f>H99-G99</f>
        <v>-1142.3199999999997</v>
      </c>
      <c r="J99" s="9"/>
      <c r="K99" s="97"/>
    </row>
    <row r="100" spans="1:12" s="147" customFormat="1" x14ac:dyDescent="0.75">
      <c r="A100" s="146" t="s">
        <v>196</v>
      </c>
      <c r="B100" s="87"/>
      <c r="C100" s="14">
        <v>1024.32</v>
      </c>
      <c r="D100" s="14">
        <v>333.33333333333331</v>
      </c>
      <c r="E100" s="16">
        <f>D100-C100</f>
        <v>-690.98666666666668</v>
      </c>
      <c r="F100" s="15"/>
      <c r="G100" s="16">
        <v>0</v>
      </c>
      <c r="H100" s="16">
        <v>0</v>
      </c>
      <c r="I100" s="101">
        <f>H100-G100</f>
        <v>0</v>
      </c>
      <c r="J100" s="9"/>
      <c r="K100" s="97"/>
    </row>
    <row r="101" spans="1:12" customFormat="1" x14ac:dyDescent="0.75">
      <c r="A101" s="94" t="s">
        <v>111</v>
      </c>
      <c r="B101" s="87"/>
      <c r="C101" s="14">
        <v>250</v>
      </c>
      <c r="D101" s="14">
        <v>500</v>
      </c>
      <c r="E101" s="16">
        <f>D101-C101</f>
        <v>250</v>
      </c>
      <c r="F101" s="15"/>
      <c r="G101" s="16">
        <v>8708.26</v>
      </c>
      <c r="H101" s="16">
        <v>7000</v>
      </c>
      <c r="I101" s="101">
        <f>H101-G101</f>
        <v>-1708.2600000000002</v>
      </c>
      <c r="J101" s="9"/>
      <c r="K101" s="97" t="s">
        <v>160</v>
      </c>
    </row>
    <row r="102" spans="1:12" customFormat="1" x14ac:dyDescent="0.75">
      <c r="A102" s="92" t="s">
        <v>79</v>
      </c>
      <c r="B102" s="88"/>
      <c r="C102" s="57">
        <f>SUM(C97:C101)</f>
        <v>15405.82</v>
      </c>
      <c r="D102" s="57">
        <f>SUM(D97:D101)</f>
        <v>13800</v>
      </c>
      <c r="E102" s="57">
        <f>SUM(E97:E101)</f>
        <v>-1605.8200000000004</v>
      </c>
      <c r="F102" s="59"/>
      <c r="G102" s="57">
        <v>13127.58</v>
      </c>
      <c r="H102" s="57">
        <v>10000</v>
      </c>
      <c r="I102" s="102">
        <f>H102-G102</f>
        <v>-3127.58</v>
      </c>
      <c r="J102" s="19"/>
      <c r="K102" s="110"/>
    </row>
    <row r="103" spans="1:12" x14ac:dyDescent="0.75">
      <c r="A103" s="136" t="s">
        <v>203</v>
      </c>
      <c r="B103" s="87"/>
      <c r="C103" s="20"/>
      <c r="D103" s="20"/>
      <c r="E103" s="20"/>
      <c r="F103" s="77"/>
      <c r="G103" s="20"/>
      <c r="H103" s="20"/>
      <c r="I103" s="103"/>
      <c r="J103" s="19"/>
      <c r="K103" s="97"/>
    </row>
    <row r="104" spans="1:12" x14ac:dyDescent="0.75">
      <c r="A104" s="150" t="s">
        <v>202</v>
      </c>
      <c r="B104" s="87"/>
      <c r="C104" s="14">
        <v>0</v>
      </c>
      <c r="D104" s="14">
        <v>0</v>
      </c>
      <c r="E104" s="16">
        <f>D104-C104</f>
        <v>0</v>
      </c>
      <c r="F104" s="77"/>
      <c r="G104" s="16">
        <v>4270.01</v>
      </c>
      <c r="H104" s="16">
        <v>0</v>
      </c>
      <c r="I104" s="101">
        <f>H104-G104</f>
        <v>-4270.01</v>
      </c>
      <c r="J104" s="19"/>
      <c r="K104" s="97"/>
    </row>
    <row r="105" spans="1:12" s="148" customFormat="1" x14ac:dyDescent="0.75">
      <c r="A105" s="62" t="s">
        <v>204</v>
      </c>
      <c r="B105" s="88"/>
      <c r="C105" s="57">
        <f>SUM(C104)</f>
        <v>0</v>
      </c>
      <c r="D105" s="57">
        <v>0</v>
      </c>
      <c r="E105" s="57">
        <f t="shared" ref="E105" si="12">SUM(E104)</f>
        <v>0</v>
      </c>
      <c r="F105" s="59"/>
      <c r="G105" s="57">
        <v>4270.01</v>
      </c>
      <c r="H105" s="57">
        <v>0</v>
      </c>
      <c r="I105" s="57">
        <f t="shared" ref="I105" si="13">SUM(I104)</f>
        <v>-4270.01</v>
      </c>
      <c r="J105" s="19"/>
      <c r="K105" s="110"/>
    </row>
    <row r="106" spans="1:12" customFormat="1" x14ac:dyDescent="0.75">
      <c r="A106" s="91" t="s">
        <v>80</v>
      </c>
      <c r="B106" s="87"/>
      <c r="C106" s="14"/>
      <c r="D106" s="14"/>
      <c r="E106" s="16"/>
      <c r="F106" s="15"/>
      <c r="G106" s="16"/>
      <c r="H106" s="16"/>
      <c r="I106" s="101"/>
      <c r="J106" s="9"/>
      <c r="K106" s="97"/>
    </row>
    <row r="107" spans="1:12" customFormat="1" x14ac:dyDescent="0.75">
      <c r="A107" s="91" t="s">
        <v>81</v>
      </c>
      <c r="B107" s="87"/>
      <c r="C107" s="14">
        <v>10993.99</v>
      </c>
      <c r="D107" s="14">
        <v>3333.3333333333335</v>
      </c>
      <c r="E107" s="16">
        <f>D107-C107</f>
        <v>-7660.6566666666658</v>
      </c>
      <c r="F107" s="15"/>
      <c r="G107" s="16">
        <v>1408.14</v>
      </c>
      <c r="H107" s="16">
        <v>1532</v>
      </c>
      <c r="I107" s="101">
        <f>H107-G107</f>
        <v>123.8599999999999</v>
      </c>
      <c r="J107" s="9"/>
      <c r="K107" s="97" t="s">
        <v>295</v>
      </c>
      <c r="L107" s="75"/>
    </row>
    <row r="108" spans="1:12" s="128" customFormat="1" x14ac:dyDescent="0.75">
      <c r="A108" s="131" t="s">
        <v>158</v>
      </c>
      <c r="B108" s="87"/>
      <c r="C108" s="14"/>
      <c r="D108" s="14">
        <v>183.33333333333334</v>
      </c>
      <c r="E108" s="16">
        <f>D108-C108</f>
        <v>183.33333333333334</v>
      </c>
      <c r="F108" s="15"/>
      <c r="G108" s="16">
        <v>1391.58</v>
      </c>
      <c r="H108" s="16">
        <v>0</v>
      </c>
      <c r="I108" s="101">
        <f>H108-G108</f>
        <v>-1391.58</v>
      </c>
      <c r="J108" s="9"/>
      <c r="K108" s="97"/>
      <c r="L108" s="75"/>
    </row>
    <row r="109" spans="1:12" customFormat="1" x14ac:dyDescent="0.75">
      <c r="A109" s="92" t="s">
        <v>82</v>
      </c>
      <c r="B109" s="88"/>
      <c r="C109" s="57">
        <f>SUM(C107:C108)</f>
        <v>10993.99</v>
      </c>
      <c r="D109" s="57">
        <f>SUM(D107:D108)</f>
        <v>3516.666666666667</v>
      </c>
      <c r="E109" s="57">
        <f>SUM(E107:E108)</f>
        <v>-7477.3233333333328</v>
      </c>
      <c r="F109" s="56"/>
      <c r="G109" s="57">
        <v>2799.7200000000003</v>
      </c>
      <c r="H109" s="57">
        <v>1532</v>
      </c>
      <c r="I109" s="102">
        <f>H109-G109</f>
        <v>-1267.7200000000003</v>
      </c>
      <c r="J109" s="9"/>
      <c r="K109" s="110"/>
    </row>
    <row r="110" spans="1:12" customFormat="1" x14ac:dyDescent="0.75">
      <c r="A110" s="91" t="s">
        <v>83</v>
      </c>
      <c r="B110" s="87"/>
      <c r="C110" s="14"/>
      <c r="D110" s="14"/>
      <c r="E110" s="16"/>
      <c r="F110" s="15"/>
      <c r="G110" s="16"/>
      <c r="H110" s="16"/>
      <c r="I110" s="101"/>
      <c r="J110" s="9"/>
      <c r="K110" s="97"/>
    </row>
    <row r="111" spans="1:12" s="148" customFormat="1" x14ac:dyDescent="0.75">
      <c r="A111" s="91" t="s">
        <v>281</v>
      </c>
      <c r="B111" s="87"/>
      <c r="C111" s="14">
        <v>157.9</v>
      </c>
      <c r="D111" s="14">
        <v>1000</v>
      </c>
      <c r="E111" s="16">
        <f>D111-C111</f>
        <v>842.1</v>
      </c>
      <c r="F111" s="15"/>
      <c r="G111" s="16">
        <v>3506.25</v>
      </c>
      <c r="H111" s="16"/>
      <c r="I111" s="101">
        <f>H111-G111</f>
        <v>-3506.25</v>
      </c>
      <c r="J111" s="9"/>
      <c r="K111" s="97" t="s">
        <v>298</v>
      </c>
    </row>
    <row r="112" spans="1:12" customFormat="1" x14ac:dyDescent="0.75">
      <c r="A112" s="91" t="s">
        <v>84</v>
      </c>
      <c r="B112" s="87"/>
      <c r="C112" s="14"/>
      <c r="D112" s="14">
        <v>833.33333333333337</v>
      </c>
      <c r="E112" s="16">
        <f>D112-C112</f>
        <v>833.33333333333337</v>
      </c>
      <c r="F112" s="15"/>
      <c r="G112" s="16">
        <v>7225</v>
      </c>
      <c r="H112" s="16">
        <v>10500</v>
      </c>
      <c r="I112" s="101">
        <f>H112-G112</f>
        <v>3275</v>
      </c>
      <c r="J112" s="9"/>
      <c r="K112" s="97"/>
      <c r="L112" s="75"/>
    </row>
    <row r="113" spans="1:12" s="148" customFormat="1" x14ac:dyDescent="0.75">
      <c r="A113" s="150" t="s">
        <v>282</v>
      </c>
      <c r="B113" s="87"/>
      <c r="C113" s="14"/>
      <c r="D113" s="14">
        <v>3333.3333333333335</v>
      </c>
      <c r="E113" s="16">
        <f>D113-C113</f>
        <v>3333.3333333333335</v>
      </c>
      <c r="F113" s="15"/>
      <c r="G113" s="16">
        <v>877</v>
      </c>
      <c r="H113" s="16">
        <v>0</v>
      </c>
      <c r="I113" s="101">
        <f>H113-G113</f>
        <v>-877</v>
      </c>
      <c r="J113" s="9"/>
      <c r="K113" s="97"/>
      <c r="L113" s="75"/>
    </row>
    <row r="114" spans="1:12" customFormat="1" x14ac:dyDescent="0.75">
      <c r="A114" s="92" t="s">
        <v>85</v>
      </c>
      <c r="B114" s="88"/>
      <c r="C114" s="57">
        <f>SUM(C111:C113)</f>
        <v>157.9</v>
      </c>
      <c r="D114" s="57">
        <f>SUM(D111:D113)</f>
        <v>5166.666666666667</v>
      </c>
      <c r="E114" s="57">
        <f>SUM(E111:E113)</f>
        <v>5008.7666666666664</v>
      </c>
      <c r="F114" s="56"/>
      <c r="G114" s="57">
        <v>11608.25</v>
      </c>
      <c r="H114" s="57">
        <v>10500</v>
      </c>
      <c r="I114" s="102">
        <f>SUM(I111:I113)</f>
        <v>-1108.25</v>
      </c>
      <c r="J114" s="9"/>
      <c r="K114" s="110"/>
      <c r="L114" s="75"/>
    </row>
    <row r="115" spans="1:12" x14ac:dyDescent="0.75">
      <c r="A115" s="91" t="s">
        <v>86</v>
      </c>
      <c r="B115" s="87"/>
      <c r="C115" s="14"/>
      <c r="D115" s="14"/>
      <c r="E115" s="20"/>
      <c r="F115" s="15"/>
      <c r="G115" s="20"/>
      <c r="H115" s="20"/>
      <c r="I115" s="103"/>
      <c r="J115" s="9"/>
      <c r="K115" s="97"/>
      <c r="L115" s="75"/>
    </row>
    <row r="116" spans="1:12" x14ac:dyDescent="0.75">
      <c r="A116" s="91" t="s">
        <v>110</v>
      </c>
      <c r="B116" s="87"/>
      <c r="C116" s="14">
        <v>857.93</v>
      </c>
      <c r="D116" s="14">
        <v>1000</v>
      </c>
      <c r="E116" s="16">
        <f>D116-C116</f>
        <v>142.07000000000005</v>
      </c>
      <c r="F116" s="15"/>
      <c r="G116" s="16">
        <v>2946.58</v>
      </c>
      <c r="H116" s="16">
        <v>12030</v>
      </c>
      <c r="I116" s="101">
        <f>H116-G116</f>
        <v>9083.42</v>
      </c>
      <c r="J116" s="9"/>
      <c r="K116" s="97" t="s">
        <v>299</v>
      </c>
      <c r="L116" s="75"/>
    </row>
    <row r="117" spans="1:12" x14ac:dyDescent="0.75">
      <c r="A117" s="92" t="s">
        <v>87</v>
      </c>
      <c r="B117" s="88"/>
      <c r="C117" s="57">
        <f>SUM(C116)</f>
        <v>857.93</v>
      </c>
      <c r="D117" s="57">
        <f>SUM(D116)</f>
        <v>1000</v>
      </c>
      <c r="E117" s="57">
        <f>SUM(E116:E116)</f>
        <v>142.07000000000005</v>
      </c>
      <c r="F117" s="59"/>
      <c r="G117" s="57">
        <v>2946.58</v>
      </c>
      <c r="H117" s="57">
        <v>12030</v>
      </c>
      <c r="I117" s="102">
        <f>H117-G117</f>
        <v>9083.42</v>
      </c>
      <c r="J117" s="19"/>
      <c r="K117" s="110"/>
    </row>
    <row r="118" spans="1:12" x14ac:dyDescent="0.75">
      <c r="A118" s="91" t="s">
        <v>88</v>
      </c>
      <c r="B118" s="87"/>
      <c r="C118" s="20"/>
      <c r="D118" s="20"/>
      <c r="E118" s="20"/>
      <c r="F118" s="77"/>
      <c r="G118" s="20"/>
      <c r="H118" s="20"/>
      <c r="I118" s="103"/>
      <c r="J118" s="19"/>
      <c r="K118" s="97"/>
    </row>
    <row r="119" spans="1:12" x14ac:dyDescent="0.75">
      <c r="A119" s="91" t="s">
        <v>89</v>
      </c>
      <c r="B119" s="87"/>
      <c r="C119" s="14">
        <v>0</v>
      </c>
      <c r="D119" s="14">
        <v>0</v>
      </c>
      <c r="E119" s="16">
        <f>D119-C119</f>
        <v>0</v>
      </c>
      <c r="F119" s="15"/>
      <c r="G119" s="16">
        <v>25863.54</v>
      </c>
      <c r="H119" s="16">
        <v>33000</v>
      </c>
      <c r="I119" s="101">
        <f>H119-G119</f>
        <v>7136.4599999999991</v>
      </c>
      <c r="J119" s="19"/>
      <c r="K119" s="97"/>
    </row>
    <row r="120" spans="1:12" x14ac:dyDescent="0.75">
      <c r="A120" s="92" t="s">
        <v>90</v>
      </c>
      <c r="B120" s="88"/>
      <c r="C120" s="57">
        <f>SUM(C119)</f>
        <v>0</v>
      </c>
      <c r="D120" s="57">
        <f>SUM(D119)</f>
        <v>0</v>
      </c>
      <c r="E120" s="57">
        <f>SUM(E119)</f>
        <v>0</v>
      </c>
      <c r="F120" s="59"/>
      <c r="G120" s="57">
        <v>25863.54</v>
      </c>
      <c r="H120" s="57">
        <v>33000</v>
      </c>
      <c r="I120" s="102">
        <f>H120-G120</f>
        <v>7136.4599999999991</v>
      </c>
      <c r="J120" s="19"/>
      <c r="K120" s="110"/>
    </row>
    <row r="121" spans="1:12" x14ac:dyDescent="0.75">
      <c r="A121" s="91" t="s">
        <v>120</v>
      </c>
      <c r="B121" s="87"/>
      <c r="C121" s="20"/>
      <c r="D121" s="20"/>
      <c r="E121" s="20"/>
      <c r="F121" s="77"/>
      <c r="G121" s="20"/>
      <c r="H121" s="20"/>
      <c r="I121" s="103"/>
      <c r="J121" s="19"/>
      <c r="K121" s="97"/>
    </row>
    <row r="122" spans="1:12" x14ac:dyDescent="0.75">
      <c r="A122" s="61" t="s">
        <v>155</v>
      </c>
      <c r="B122" s="87"/>
      <c r="C122" s="14">
        <v>389.27</v>
      </c>
      <c r="D122" s="14">
        <v>416.66666666666669</v>
      </c>
      <c r="E122" s="16">
        <f>D122-C122</f>
        <v>27.396666666666704</v>
      </c>
      <c r="F122" s="15"/>
      <c r="G122" s="16">
        <v>490.82</v>
      </c>
      <c r="H122" s="16">
        <v>0</v>
      </c>
      <c r="I122" s="101">
        <f>H122-G122</f>
        <v>-490.82</v>
      </c>
      <c r="J122" s="19"/>
      <c r="K122" s="97" t="s">
        <v>300</v>
      </c>
    </row>
    <row r="123" spans="1:12" x14ac:dyDescent="0.75">
      <c r="A123" s="91" t="s">
        <v>119</v>
      </c>
      <c r="B123" s="87"/>
      <c r="C123" s="14">
        <v>169.39</v>
      </c>
      <c r="D123" s="14">
        <v>500</v>
      </c>
      <c r="E123" s="16">
        <f>D123-C123</f>
        <v>330.61</v>
      </c>
      <c r="F123" s="15"/>
      <c r="G123" s="16">
        <v>4823.16</v>
      </c>
      <c r="H123" s="16">
        <v>2872</v>
      </c>
      <c r="I123" s="101">
        <f>H123-G123</f>
        <v>-1951.1599999999999</v>
      </c>
      <c r="J123" s="19"/>
      <c r="K123" s="97" t="s">
        <v>300</v>
      </c>
    </row>
    <row r="124" spans="1:12" x14ac:dyDescent="0.75">
      <c r="A124" s="92" t="s">
        <v>121</v>
      </c>
      <c r="B124" s="88"/>
      <c r="C124" s="57">
        <f>SUM(C122:C123)</f>
        <v>558.66</v>
      </c>
      <c r="D124" s="57">
        <f>SUM(D122:D123)</f>
        <v>916.66666666666674</v>
      </c>
      <c r="E124" s="57">
        <f>SUM(E122:E123)</f>
        <v>358.00666666666672</v>
      </c>
      <c r="F124" s="59"/>
      <c r="G124" s="57">
        <v>5313.98</v>
      </c>
      <c r="H124" s="57">
        <v>2872</v>
      </c>
      <c r="I124" s="102">
        <f>H124-G124</f>
        <v>-2441.9799999999996</v>
      </c>
      <c r="J124" s="19"/>
      <c r="K124" s="110"/>
    </row>
    <row r="125" spans="1:12" x14ac:dyDescent="0.75">
      <c r="A125" s="91" t="s">
        <v>91</v>
      </c>
      <c r="B125" s="87"/>
      <c r="C125" s="14"/>
      <c r="D125" s="14"/>
      <c r="E125" s="16"/>
      <c r="F125" s="15"/>
      <c r="G125" s="16"/>
      <c r="H125" s="16"/>
      <c r="I125" s="101"/>
      <c r="J125" s="9"/>
      <c r="K125" s="97"/>
    </row>
    <row r="126" spans="1:12" x14ac:dyDescent="0.75">
      <c r="A126" s="176" t="s">
        <v>283</v>
      </c>
      <c r="B126" s="87"/>
      <c r="C126" s="14"/>
      <c r="D126" s="14">
        <v>33.333333333333336</v>
      </c>
      <c r="E126" s="16">
        <f>D126-C126</f>
        <v>33.333333333333336</v>
      </c>
      <c r="F126" s="15"/>
      <c r="G126" s="16"/>
      <c r="H126" s="16"/>
      <c r="I126" s="101"/>
      <c r="J126" s="9"/>
      <c r="K126" s="97"/>
    </row>
    <row r="127" spans="1:12" x14ac:dyDescent="0.75">
      <c r="A127" s="131" t="s">
        <v>159</v>
      </c>
      <c r="B127" s="87"/>
      <c r="C127" s="14">
        <v>383.08</v>
      </c>
      <c r="D127" s="14">
        <v>0</v>
      </c>
      <c r="E127" s="16">
        <f>D127-C127</f>
        <v>-383.08</v>
      </c>
      <c r="F127" s="15"/>
      <c r="G127" s="16">
        <v>0</v>
      </c>
      <c r="H127" s="16">
        <v>0</v>
      </c>
      <c r="I127" s="101">
        <f>H127-G127</f>
        <v>0</v>
      </c>
      <c r="J127" s="9"/>
      <c r="K127" s="97" t="s">
        <v>292</v>
      </c>
    </row>
    <row r="128" spans="1:12" x14ac:dyDescent="0.75">
      <c r="A128" s="91" t="s">
        <v>92</v>
      </c>
      <c r="B128" s="87"/>
      <c r="C128" s="14"/>
      <c r="D128" s="14">
        <v>166.66666666666666</v>
      </c>
      <c r="E128" s="16">
        <f>D128-C128</f>
        <v>166.66666666666666</v>
      </c>
      <c r="F128" s="15"/>
      <c r="G128" s="16">
        <v>57.01</v>
      </c>
      <c r="H128" s="16">
        <v>0</v>
      </c>
      <c r="I128" s="101">
        <f>H128-G128</f>
        <v>-57.01</v>
      </c>
      <c r="J128" s="19"/>
      <c r="K128" s="97"/>
      <c r="L128" s="75"/>
    </row>
    <row r="129" spans="1:12" x14ac:dyDescent="0.75">
      <c r="A129" s="95" t="s">
        <v>128</v>
      </c>
      <c r="B129" s="87"/>
      <c r="C129" s="14">
        <v>98.13</v>
      </c>
      <c r="D129" s="14">
        <v>0</v>
      </c>
      <c r="E129" s="16">
        <f>D129-C129</f>
        <v>-98.13</v>
      </c>
      <c r="F129" s="15"/>
      <c r="G129" s="16">
        <v>705.09</v>
      </c>
      <c r="H129" s="16">
        <v>0</v>
      </c>
      <c r="I129" s="101">
        <f>H129-G129</f>
        <v>-705.09</v>
      </c>
      <c r="J129" s="19"/>
      <c r="K129" s="97" t="s">
        <v>129</v>
      </c>
      <c r="L129" s="75"/>
    </row>
    <row r="130" spans="1:12" x14ac:dyDescent="0.75">
      <c r="A130" s="1" t="s">
        <v>284</v>
      </c>
      <c r="B130" s="87"/>
      <c r="C130" s="14"/>
      <c r="D130" s="14">
        <v>0</v>
      </c>
      <c r="E130" s="16">
        <f>D130-C130</f>
        <v>0</v>
      </c>
      <c r="F130" s="15"/>
      <c r="G130" s="16">
        <v>2.16</v>
      </c>
      <c r="H130" s="16">
        <v>0</v>
      </c>
      <c r="I130" s="101">
        <f>H130-G130</f>
        <v>-2.16</v>
      </c>
      <c r="J130" s="19"/>
      <c r="K130" s="97"/>
      <c r="L130" s="75"/>
    </row>
    <row r="131" spans="1:12" x14ac:dyDescent="0.75">
      <c r="A131" s="92" t="s">
        <v>93</v>
      </c>
      <c r="B131" s="88"/>
      <c r="C131" s="57">
        <f>SUM(C126:C130)</f>
        <v>481.21</v>
      </c>
      <c r="D131" s="57">
        <f>SUM(D126:D130)</f>
        <v>200</v>
      </c>
      <c r="E131" s="57">
        <f>SUM(E126:E130)</f>
        <v>-281.21000000000004</v>
      </c>
      <c r="F131" s="57">
        <f>SUM(F128:F128)</f>
        <v>0</v>
      </c>
      <c r="G131" s="57">
        <v>764.26</v>
      </c>
      <c r="H131" s="57">
        <v>0</v>
      </c>
      <c r="I131" s="102">
        <f>H131-G131</f>
        <v>-764.26</v>
      </c>
      <c r="J131" s="9"/>
      <c r="K131" s="110"/>
      <c r="L131" s="75"/>
    </row>
    <row r="132" spans="1:12" x14ac:dyDescent="0.75">
      <c r="A132" s="91" t="s">
        <v>94</v>
      </c>
      <c r="B132" s="87"/>
      <c r="C132" s="14"/>
      <c r="D132" s="14"/>
      <c r="E132" s="16"/>
      <c r="F132" s="15"/>
      <c r="G132" s="16"/>
      <c r="H132" s="16"/>
      <c r="I132" s="101"/>
      <c r="J132" s="9"/>
      <c r="K132" s="97"/>
    </row>
    <row r="133" spans="1:12" x14ac:dyDescent="0.75">
      <c r="A133" s="91" t="s">
        <v>95</v>
      </c>
      <c r="B133" s="87"/>
      <c r="C133" s="14">
        <v>7149.77</v>
      </c>
      <c r="D133" s="14">
        <v>5088.6099999999997</v>
      </c>
      <c r="E133" s="16">
        <f>D133-C133</f>
        <v>-2061.1600000000008</v>
      </c>
      <c r="F133" s="15"/>
      <c r="G133" s="16">
        <v>2284.64</v>
      </c>
      <c r="H133" s="16">
        <v>4179</v>
      </c>
      <c r="I133" s="101">
        <f>H133-G133</f>
        <v>1894.3600000000001</v>
      </c>
      <c r="J133" s="19"/>
      <c r="K133" s="97" t="s">
        <v>301</v>
      </c>
    </row>
    <row r="134" spans="1:12" x14ac:dyDescent="0.75">
      <c r="A134" s="92" t="s">
        <v>96</v>
      </c>
      <c r="B134" s="88"/>
      <c r="C134" s="57">
        <f>SUM(C133)</f>
        <v>7149.77</v>
      </c>
      <c r="D134" s="57">
        <f>SUM(D133)</f>
        <v>5088.6099999999997</v>
      </c>
      <c r="E134" s="57">
        <f>SUM(E133:E133)</f>
        <v>-2061.1600000000008</v>
      </c>
      <c r="F134" s="56"/>
      <c r="G134" s="57">
        <v>2284.64</v>
      </c>
      <c r="H134" s="57">
        <v>4179</v>
      </c>
      <c r="I134" s="102">
        <f>H134-G134</f>
        <v>1894.3600000000001</v>
      </c>
      <c r="J134" s="9"/>
      <c r="K134" s="110"/>
      <c r="L134" s="75"/>
    </row>
    <row r="135" spans="1:12" x14ac:dyDescent="0.75">
      <c r="A135" s="91" t="s">
        <v>178</v>
      </c>
      <c r="B135" s="87"/>
      <c r="C135" s="14"/>
      <c r="D135" s="14"/>
      <c r="E135" s="16"/>
      <c r="F135" s="15"/>
      <c r="G135" s="16"/>
      <c r="H135" s="16"/>
      <c r="I135" s="101"/>
      <c r="J135" s="9"/>
      <c r="K135" s="97"/>
    </row>
    <row r="136" spans="1:12" x14ac:dyDescent="0.75">
      <c r="A136" s="91" t="s">
        <v>285</v>
      </c>
      <c r="B136" s="87"/>
      <c r="C136" s="14">
        <v>83333.34</v>
      </c>
      <c r="D136" s="14">
        <v>83333.333333333328</v>
      </c>
      <c r="E136" s="16">
        <f>D136-C136</f>
        <v>-6.6666666680248454E-3</v>
      </c>
      <c r="F136" s="15"/>
      <c r="G136" s="16">
        <v>8314.0300000000007</v>
      </c>
      <c r="H136" s="16">
        <v>0</v>
      </c>
      <c r="I136" s="101">
        <f>H136-G136</f>
        <v>-8314.0300000000007</v>
      </c>
      <c r="J136" s="19"/>
      <c r="K136" s="97"/>
    </row>
    <row r="137" spans="1:12" x14ac:dyDescent="0.75">
      <c r="A137" s="91" t="s">
        <v>179</v>
      </c>
      <c r="B137" s="87"/>
      <c r="C137" s="14">
        <v>16068.2</v>
      </c>
      <c r="D137" s="14">
        <v>14733</v>
      </c>
      <c r="E137" s="16">
        <f t="shared" ref="E137:E139" si="14">D137-C137</f>
        <v>-1335.2000000000007</v>
      </c>
      <c r="F137" s="15"/>
      <c r="G137" s="16"/>
      <c r="H137" s="16"/>
      <c r="I137" s="101"/>
      <c r="J137" s="19"/>
      <c r="K137" s="97"/>
    </row>
    <row r="138" spans="1:12" x14ac:dyDescent="0.75">
      <c r="A138" s="91" t="s">
        <v>286</v>
      </c>
      <c r="B138" s="87"/>
      <c r="C138" s="14"/>
      <c r="D138" s="14">
        <v>10000</v>
      </c>
      <c r="E138" s="16">
        <f t="shared" si="14"/>
        <v>10000</v>
      </c>
      <c r="F138" s="15"/>
      <c r="G138" s="16"/>
      <c r="H138" s="16"/>
      <c r="I138" s="101"/>
      <c r="J138" s="19"/>
      <c r="K138" s="97"/>
    </row>
    <row r="139" spans="1:12" x14ac:dyDescent="0.75">
      <c r="A139" s="91" t="s">
        <v>287</v>
      </c>
      <c r="B139" s="87"/>
      <c r="C139" s="14">
        <v>154323.03477332133</v>
      </c>
      <c r="D139" s="14">
        <v>154323.03477332133</v>
      </c>
      <c r="E139" s="16">
        <f t="shared" si="14"/>
        <v>0</v>
      </c>
      <c r="F139" s="15"/>
      <c r="G139" s="16"/>
      <c r="H139" s="16"/>
      <c r="I139" s="101"/>
      <c r="J139" s="19"/>
      <c r="K139" s="97"/>
    </row>
    <row r="140" spans="1:12" x14ac:dyDescent="0.75">
      <c r="A140" s="92" t="s">
        <v>180</v>
      </c>
      <c r="B140" s="88"/>
      <c r="C140" s="57">
        <f>SUM(C136:C139)</f>
        <v>253724.57477332134</v>
      </c>
      <c r="D140" s="57">
        <f>SUM(D136:D139)</f>
        <v>262389.36810665467</v>
      </c>
      <c r="E140" s="57">
        <f>SUM(E136:E139)</f>
        <v>8664.7933333333312</v>
      </c>
      <c r="F140" s="56"/>
      <c r="G140" s="57">
        <v>8314.0300000000007</v>
      </c>
      <c r="H140" s="57">
        <v>0</v>
      </c>
      <c r="I140" s="102">
        <f>H140-G140</f>
        <v>-8314.0300000000007</v>
      </c>
      <c r="J140" s="9"/>
      <c r="K140" s="110"/>
      <c r="L140" s="75"/>
    </row>
    <row r="141" spans="1:12" x14ac:dyDescent="0.75">
      <c r="A141" s="93" t="s">
        <v>13</v>
      </c>
      <c r="B141" s="89"/>
      <c r="C141" s="138">
        <f>C140+C134+C124+C120+C117+C109+C105+C102+C95+C131+C92+C85+C84+C80+C74+C70+C59+C114</f>
        <v>472206.85477332136</v>
      </c>
      <c r="D141" s="138">
        <f>D140+D134+D124+D120+D117+D109+D105+D102+D95+D131+D92+D85+D84+D80+D74+D70+D59+D114</f>
        <v>538162.90921213245</v>
      </c>
      <c r="E141" s="138">
        <f>D141-C141</f>
        <v>65956.054438811087</v>
      </c>
      <c r="F141" s="139"/>
      <c r="G141" s="138">
        <v>317808.76</v>
      </c>
      <c r="H141" s="138">
        <v>338809</v>
      </c>
      <c r="I141" s="138">
        <f>H141-G141</f>
        <v>21000.239999999991</v>
      </c>
      <c r="J141" s="115"/>
      <c r="K141" s="60"/>
    </row>
    <row r="142" spans="1:12" x14ac:dyDescent="0.75">
      <c r="A142" s="93" t="s">
        <v>97</v>
      </c>
      <c r="B142" s="90">
        <f>B20-B141</f>
        <v>0</v>
      </c>
      <c r="C142" s="17">
        <f>C20-C141</f>
        <v>-84970.864773321373</v>
      </c>
      <c r="D142" s="17">
        <f>D20-D141</f>
        <v>-156165.90921213251</v>
      </c>
      <c r="E142" s="17">
        <f>E141-E20</f>
        <v>60717.064438811067</v>
      </c>
      <c r="F142" s="83"/>
      <c r="G142" s="17">
        <v>439819.65999999992</v>
      </c>
      <c r="H142" s="17">
        <v>423245</v>
      </c>
      <c r="I142" s="104">
        <f>G142-H142</f>
        <v>16574.659999999916</v>
      </c>
      <c r="J142" s="9"/>
      <c r="K142" s="111"/>
    </row>
    <row r="143" spans="1:12" x14ac:dyDescent="0.75">
      <c r="A143" s="61"/>
      <c r="B143" s="87"/>
      <c r="C143" s="16"/>
      <c r="D143" s="16"/>
      <c r="E143" s="16"/>
      <c r="F143" s="15"/>
      <c r="G143" s="16"/>
      <c r="H143" s="16"/>
      <c r="I143" s="101"/>
      <c r="J143" s="9"/>
      <c r="K143" s="97"/>
    </row>
    <row r="144" spans="1:12" x14ac:dyDescent="0.75">
      <c r="A144" s="27" t="s">
        <v>112</v>
      </c>
      <c r="B144" s="87"/>
      <c r="C144" s="16"/>
      <c r="D144" s="16"/>
      <c r="E144" s="16"/>
      <c r="F144" s="15"/>
      <c r="G144" s="16"/>
      <c r="H144" s="16"/>
      <c r="I144" s="101"/>
      <c r="J144" s="9"/>
      <c r="K144" s="97"/>
    </row>
    <row r="145" spans="1:11" x14ac:dyDescent="0.75">
      <c r="A145" s="61" t="s">
        <v>113</v>
      </c>
      <c r="B145" s="87"/>
      <c r="C145" s="16"/>
      <c r="D145" s="16"/>
      <c r="E145" s="16"/>
      <c r="F145" s="15"/>
      <c r="G145" s="16"/>
      <c r="H145" s="16"/>
      <c r="I145" s="101"/>
      <c r="J145" s="9"/>
      <c r="K145" s="97"/>
    </row>
    <row r="146" spans="1:11" x14ac:dyDescent="0.75">
      <c r="A146" s="61" t="s">
        <v>114</v>
      </c>
      <c r="B146" s="87"/>
      <c r="C146" s="14"/>
      <c r="D146" s="14"/>
      <c r="E146" s="16">
        <f>D146-C146</f>
        <v>0</v>
      </c>
      <c r="F146" s="15"/>
      <c r="G146" s="16">
        <v>10554.62</v>
      </c>
      <c r="H146" s="2">
        <v>30000</v>
      </c>
      <c r="I146" s="101">
        <f>H146-G146</f>
        <v>19445.379999999997</v>
      </c>
      <c r="J146" s="9"/>
      <c r="K146" s="97"/>
    </row>
    <row r="147" spans="1:11" x14ac:dyDescent="0.75">
      <c r="A147" s="61" t="s">
        <v>115</v>
      </c>
      <c r="B147" s="87"/>
      <c r="C147" s="14">
        <v>32170.5</v>
      </c>
      <c r="D147" s="14"/>
      <c r="E147" s="16">
        <f>D147-C147</f>
        <v>-32170.5</v>
      </c>
      <c r="F147" s="15"/>
      <c r="G147" s="16">
        <v>11010.5</v>
      </c>
      <c r="H147" s="2">
        <v>80000</v>
      </c>
      <c r="I147" s="101">
        <f>H147-G147</f>
        <v>68989.5</v>
      </c>
      <c r="J147" s="9"/>
      <c r="K147" s="97"/>
    </row>
    <row r="148" spans="1:11" x14ac:dyDescent="0.75">
      <c r="A148" s="1" t="s">
        <v>205</v>
      </c>
      <c r="B148" s="87"/>
      <c r="C148" s="14">
        <v>8916.2900000000009</v>
      </c>
      <c r="D148" s="14"/>
      <c r="E148" s="16">
        <f t="shared" ref="E148:E153" si="15">D148-C148</f>
        <v>-8916.2900000000009</v>
      </c>
      <c r="F148" s="15"/>
      <c r="G148" s="16">
        <v>21082.5</v>
      </c>
      <c r="H148" s="2">
        <v>19442.5</v>
      </c>
      <c r="I148" s="101"/>
      <c r="J148" s="9"/>
      <c r="K148" s="97"/>
    </row>
    <row r="149" spans="1:11" x14ac:dyDescent="0.75">
      <c r="A149" s="61" t="s">
        <v>198</v>
      </c>
      <c r="B149" s="87"/>
      <c r="C149" s="14">
        <v>0</v>
      </c>
      <c r="D149" s="14"/>
      <c r="E149" s="16">
        <f t="shared" si="15"/>
        <v>0</v>
      </c>
      <c r="F149" s="15"/>
      <c r="G149" s="16">
        <v>0</v>
      </c>
      <c r="H149" s="2">
        <v>4627.5</v>
      </c>
      <c r="I149" s="101"/>
      <c r="J149" s="9"/>
      <c r="K149" s="97"/>
    </row>
    <row r="150" spans="1:11" x14ac:dyDescent="0.75">
      <c r="A150" s="61" t="s">
        <v>116</v>
      </c>
      <c r="B150" s="87"/>
      <c r="C150" s="14">
        <v>18219.150000000001</v>
      </c>
      <c r="D150" s="14"/>
      <c r="E150" s="16">
        <f t="shared" si="15"/>
        <v>-18219.150000000001</v>
      </c>
      <c r="F150" s="15"/>
      <c r="G150" s="16">
        <v>0</v>
      </c>
      <c r="H150" s="2">
        <v>18586</v>
      </c>
      <c r="I150" s="101">
        <f>H150-G150</f>
        <v>18586</v>
      </c>
      <c r="J150" s="9"/>
      <c r="K150" s="97" t="s">
        <v>288</v>
      </c>
    </row>
    <row r="151" spans="1:11" x14ac:dyDescent="0.75">
      <c r="A151" s="61" t="s">
        <v>197</v>
      </c>
      <c r="B151" s="9"/>
      <c r="C151" s="14">
        <v>0</v>
      </c>
      <c r="D151" s="14"/>
      <c r="E151" s="16">
        <f t="shared" si="15"/>
        <v>0</v>
      </c>
      <c r="F151" s="15"/>
      <c r="G151" s="16">
        <v>0</v>
      </c>
      <c r="H151" s="2">
        <v>6322.5</v>
      </c>
      <c r="I151" s="101"/>
      <c r="J151" s="9"/>
      <c r="K151" s="97"/>
    </row>
    <row r="152" spans="1:11" x14ac:dyDescent="0.75">
      <c r="A152" s="1" t="s">
        <v>117</v>
      </c>
      <c r="B152" s="29"/>
      <c r="C152" s="14">
        <v>5035</v>
      </c>
      <c r="D152" s="14"/>
      <c r="E152" s="16">
        <f t="shared" si="15"/>
        <v>-5035</v>
      </c>
      <c r="F152" s="15"/>
      <c r="G152" s="16">
        <v>24860</v>
      </c>
      <c r="H152" s="2">
        <v>60000</v>
      </c>
      <c r="I152" s="101">
        <f>H152-G152</f>
        <v>35140</v>
      </c>
      <c r="J152" s="9"/>
      <c r="K152" s="97"/>
    </row>
    <row r="153" spans="1:11" x14ac:dyDescent="0.75">
      <c r="A153" s="1" t="s">
        <v>289</v>
      </c>
      <c r="B153" s="29"/>
      <c r="C153" s="14">
        <v>13738</v>
      </c>
      <c r="D153" s="14"/>
      <c r="E153" s="16">
        <f t="shared" si="15"/>
        <v>-13738</v>
      </c>
      <c r="F153" s="15"/>
      <c r="G153" s="16"/>
      <c r="H153" s="2"/>
      <c r="I153" s="101"/>
      <c r="J153" s="9"/>
      <c r="K153" s="97"/>
    </row>
    <row r="154" spans="1:11" x14ac:dyDescent="0.75">
      <c r="A154" s="62" t="s">
        <v>118</v>
      </c>
      <c r="B154" s="85"/>
      <c r="C154" s="57">
        <f>SUM(C146:C153)</f>
        <v>78078.94</v>
      </c>
      <c r="D154" s="57">
        <v>0</v>
      </c>
      <c r="E154" s="57">
        <f>SUM(E146:E153)</f>
        <v>-78078.94</v>
      </c>
      <c r="F154" s="56"/>
      <c r="G154" s="57">
        <v>67507.62</v>
      </c>
      <c r="H154" s="57">
        <v>218978.5</v>
      </c>
      <c r="I154" s="102">
        <f>H154-G154</f>
        <v>151470.88</v>
      </c>
      <c r="J154" s="19"/>
      <c r="K154" s="110"/>
    </row>
    <row r="155" spans="1:11" x14ac:dyDescent="0.75">
      <c r="A155" s="27"/>
      <c r="B155" s="29"/>
      <c r="C155" s="16"/>
      <c r="D155" s="16"/>
      <c r="E155" s="16"/>
      <c r="F155" s="15"/>
      <c r="G155" s="16"/>
      <c r="H155" s="16"/>
      <c r="I155" s="101"/>
      <c r="J155" s="9"/>
      <c r="K155" s="97"/>
    </row>
    <row r="156" spans="1:11" x14ac:dyDescent="0.75">
      <c r="A156" s="27"/>
      <c r="B156" s="12"/>
      <c r="C156" s="20"/>
      <c r="D156" s="20"/>
      <c r="E156" s="20"/>
      <c r="F156" s="15"/>
      <c r="G156" s="20"/>
      <c r="H156" s="20"/>
      <c r="I156" s="103"/>
      <c r="J156" s="9"/>
      <c r="K156" s="97"/>
    </row>
    <row r="157" spans="1:11" x14ac:dyDescent="0.75">
      <c r="A157" s="27"/>
      <c r="B157" s="29"/>
      <c r="C157" s="18"/>
      <c r="D157" s="18"/>
      <c r="E157" s="18"/>
      <c r="F157" s="18"/>
      <c r="G157" s="18"/>
      <c r="H157" s="18"/>
      <c r="I157" s="106"/>
      <c r="J157" s="19"/>
      <c r="K157" s="97"/>
    </row>
    <row r="158" spans="1:11" x14ac:dyDescent="0.75">
      <c r="A158" s="27"/>
      <c r="B158" s="29"/>
      <c r="C158" s="16"/>
      <c r="D158" s="16"/>
      <c r="E158" s="16"/>
      <c r="F158" s="15"/>
      <c r="G158" s="16"/>
      <c r="H158" s="16"/>
      <c r="I158" s="101"/>
      <c r="J158" s="9"/>
      <c r="K158" s="97"/>
    </row>
    <row r="159" spans="1:11" x14ac:dyDescent="0.75">
      <c r="A159" s="27"/>
      <c r="B159" s="12"/>
      <c r="C159" s="16"/>
      <c r="D159" s="16"/>
      <c r="E159" s="16"/>
      <c r="F159" s="15"/>
      <c r="G159" s="16"/>
      <c r="H159" s="16"/>
      <c r="I159" s="101"/>
      <c r="J159" s="9"/>
      <c r="K159" s="97"/>
    </row>
    <row r="160" spans="1:11" x14ac:dyDescent="0.75">
      <c r="A160" s="27"/>
      <c r="B160" s="12"/>
      <c r="C160" s="16"/>
      <c r="D160" s="16"/>
      <c r="E160" s="16"/>
      <c r="F160" s="15"/>
      <c r="G160" s="16"/>
      <c r="H160" s="16"/>
      <c r="I160" s="101"/>
      <c r="J160" s="9"/>
      <c r="K160" s="97"/>
    </row>
    <row r="161" spans="1:11" x14ac:dyDescent="0.75">
      <c r="A161" s="27"/>
      <c r="B161" s="12"/>
      <c r="C161" s="16"/>
      <c r="D161" s="16"/>
      <c r="E161" s="16"/>
      <c r="F161" s="15"/>
      <c r="G161" s="16"/>
      <c r="H161" s="16"/>
      <c r="I161" s="101"/>
      <c r="J161" s="9"/>
      <c r="K161" s="97"/>
    </row>
    <row r="162" spans="1:11" x14ac:dyDescent="0.75">
      <c r="A162" s="27"/>
      <c r="B162" s="12"/>
      <c r="C162" s="16"/>
      <c r="D162" s="16"/>
      <c r="E162" s="16"/>
      <c r="F162" s="15"/>
      <c r="G162" s="16"/>
      <c r="H162" s="16"/>
      <c r="I162" s="101"/>
      <c r="J162" s="9"/>
      <c r="K162" s="97"/>
    </row>
    <row r="163" spans="1:11" x14ac:dyDescent="0.75">
      <c r="A163" s="27"/>
      <c r="B163" s="12"/>
      <c r="C163" s="16"/>
      <c r="D163" s="16"/>
      <c r="E163" s="16"/>
      <c r="F163" s="15"/>
      <c r="G163" s="16"/>
      <c r="H163" s="16"/>
      <c r="I163" s="101"/>
      <c r="J163" s="9"/>
      <c r="K163" s="97"/>
    </row>
    <row r="164" spans="1:11" x14ac:dyDescent="0.75">
      <c r="A164" s="27"/>
      <c r="B164" s="12"/>
      <c r="C164" s="16"/>
      <c r="D164" s="16"/>
      <c r="E164" s="16"/>
      <c r="F164" s="15"/>
      <c r="G164" s="16"/>
      <c r="H164" s="16"/>
      <c r="I164" s="101"/>
      <c r="J164" s="9"/>
      <c r="K164" s="97"/>
    </row>
    <row r="165" spans="1:11" x14ac:dyDescent="0.75">
      <c r="A165" s="27"/>
      <c r="B165" s="12"/>
      <c r="C165" s="16"/>
      <c r="D165" s="16"/>
      <c r="E165" s="16"/>
      <c r="F165" s="15"/>
      <c r="G165" s="16"/>
      <c r="H165" s="16"/>
      <c r="I165" s="101"/>
      <c r="J165" s="9"/>
      <c r="K165" s="97"/>
    </row>
    <row r="166" spans="1:11" x14ac:dyDescent="0.75">
      <c r="A166" s="27"/>
      <c r="B166" s="12"/>
      <c r="C166" s="20"/>
      <c r="D166" s="20"/>
      <c r="E166" s="20"/>
      <c r="F166" s="15"/>
      <c r="G166" s="20"/>
      <c r="H166" s="20"/>
      <c r="I166" s="103"/>
      <c r="J166" s="9"/>
      <c r="K166" s="97"/>
    </row>
    <row r="167" spans="1:11" x14ac:dyDescent="0.75">
      <c r="A167" s="27"/>
      <c r="B167" s="12"/>
      <c r="C167" s="18"/>
      <c r="D167" s="18"/>
      <c r="E167" s="18"/>
      <c r="F167" s="18"/>
      <c r="G167" s="18"/>
      <c r="H167" s="18"/>
      <c r="I167" s="106"/>
      <c r="J167" s="19"/>
      <c r="K167" s="97"/>
    </row>
    <row r="168" spans="1:11" x14ac:dyDescent="0.75">
      <c r="A168" s="27"/>
      <c r="B168" s="29"/>
      <c r="C168" s="16"/>
      <c r="D168" s="16"/>
      <c r="E168" s="16"/>
      <c r="F168" s="15"/>
      <c r="G168" s="16"/>
      <c r="H168" s="16"/>
      <c r="I168" s="101"/>
      <c r="J168" s="9"/>
      <c r="K168" s="97"/>
    </row>
    <row r="169" spans="1:11" x14ac:dyDescent="0.75">
      <c r="A169" s="27"/>
      <c r="B169" s="12"/>
      <c r="C169" s="16"/>
      <c r="D169" s="16"/>
      <c r="E169" s="16"/>
      <c r="F169" s="15"/>
      <c r="G169" s="16"/>
      <c r="H169" s="16"/>
      <c r="I169" s="101"/>
      <c r="J169" s="9"/>
      <c r="K169" s="97"/>
    </row>
    <row r="170" spans="1:11" x14ac:dyDescent="0.75">
      <c r="A170" s="27"/>
      <c r="B170" s="12"/>
      <c r="C170" s="16"/>
      <c r="D170" s="16"/>
      <c r="E170" s="16"/>
      <c r="F170" s="15"/>
      <c r="G170" s="16"/>
      <c r="H170" s="16"/>
      <c r="I170" s="101"/>
      <c r="J170" s="9"/>
      <c r="K170" s="97"/>
    </row>
    <row r="171" spans="1:11" x14ac:dyDescent="0.75">
      <c r="A171" s="27"/>
      <c r="B171" s="12"/>
      <c r="C171" s="16"/>
      <c r="D171" s="16"/>
      <c r="E171" s="16"/>
      <c r="F171" s="15"/>
      <c r="G171" s="16"/>
      <c r="H171" s="16"/>
      <c r="I171" s="101"/>
      <c r="J171" s="9"/>
      <c r="K171" s="97"/>
    </row>
    <row r="172" spans="1:11" x14ac:dyDescent="0.75">
      <c r="A172" s="27"/>
      <c r="B172" s="29"/>
      <c r="C172" s="16"/>
      <c r="D172" s="16"/>
      <c r="E172" s="16"/>
      <c r="F172" s="15"/>
      <c r="G172" s="16"/>
      <c r="H172" s="16"/>
      <c r="I172" s="101"/>
      <c r="J172" s="9"/>
      <c r="K172" s="97"/>
    </row>
    <row r="173" spans="1:11" x14ac:dyDescent="0.75">
      <c r="A173" s="27"/>
      <c r="B173" s="12"/>
      <c r="C173" s="16"/>
      <c r="D173" s="16"/>
      <c r="E173" s="16"/>
      <c r="F173" s="15"/>
      <c r="G173" s="16"/>
      <c r="H173" s="16"/>
      <c r="I173" s="101"/>
      <c r="J173" s="9"/>
      <c r="K173" s="97"/>
    </row>
    <row r="174" spans="1:11" x14ac:dyDescent="0.75">
      <c r="A174" s="27"/>
      <c r="B174" s="12"/>
      <c r="C174" s="16"/>
      <c r="D174" s="16"/>
      <c r="E174" s="16"/>
      <c r="F174" s="15"/>
      <c r="G174" s="16"/>
      <c r="H174" s="16"/>
      <c r="I174" s="101"/>
      <c r="J174" s="9"/>
      <c r="K174" s="97"/>
    </row>
    <row r="175" spans="1:11" x14ac:dyDescent="0.75">
      <c r="A175" s="27"/>
      <c r="B175" s="12"/>
      <c r="C175" s="16"/>
      <c r="D175" s="16"/>
      <c r="E175" s="16"/>
      <c r="F175" s="15"/>
      <c r="G175" s="16"/>
      <c r="H175" s="16"/>
      <c r="I175" s="101"/>
      <c r="J175" s="9"/>
      <c r="K175" s="97"/>
    </row>
    <row r="176" spans="1:11" x14ac:dyDescent="0.75">
      <c r="A176" s="27"/>
      <c r="B176" s="12"/>
      <c r="C176" s="16"/>
      <c r="D176" s="16"/>
      <c r="E176" s="16"/>
      <c r="F176" s="15"/>
      <c r="G176" s="16"/>
      <c r="H176" s="16"/>
      <c r="I176" s="101"/>
      <c r="J176" s="9"/>
      <c r="K176" s="97"/>
    </row>
    <row r="177" spans="1:11" x14ac:dyDescent="0.75">
      <c r="A177" s="27"/>
      <c r="B177" s="12"/>
      <c r="C177" s="16"/>
      <c r="D177" s="16"/>
      <c r="E177" s="16"/>
      <c r="F177" s="15"/>
      <c r="G177" s="16"/>
      <c r="H177" s="16"/>
      <c r="I177" s="101"/>
      <c r="J177" s="9"/>
      <c r="K177" s="97"/>
    </row>
    <row r="178" spans="1:11" x14ac:dyDescent="0.75">
      <c r="A178" s="27"/>
      <c r="B178" s="12"/>
      <c r="C178" s="16"/>
      <c r="D178" s="16"/>
      <c r="E178" s="16"/>
      <c r="F178" s="15"/>
      <c r="G178" s="16"/>
      <c r="H178" s="16"/>
      <c r="I178" s="101"/>
      <c r="J178" s="9"/>
      <c r="K178" s="97"/>
    </row>
    <row r="179" spans="1:11" x14ac:dyDescent="0.75">
      <c r="A179" s="27"/>
      <c r="B179" s="12"/>
      <c r="C179" s="16"/>
      <c r="D179" s="16"/>
      <c r="E179" s="16"/>
      <c r="F179" s="15"/>
      <c r="G179" s="16"/>
      <c r="H179" s="16"/>
      <c r="I179" s="101"/>
      <c r="J179" s="9"/>
      <c r="K179" s="97"/>
    </row>
    <row r="180" spans="1:11" x14ac:dyDescent="0.75">
      <c r="A180" s="27"/>
      <c r="B180" s="12"/>
      <c r="C180" s="20"/>
      <c r="D180" s="20"/>
      <c r="E180" s="20"/>
      <c r="F180" s="15"/>
      <c r="G180" s="20"/>
      <c r="H180" s="20"/>
      <c r="I180" s="103"/>
      <c r="J180" s="9"/>
      <c r="K180" s="97"/>
    </row>
    <row r="181" spans="1:11" x14ac:dyDescent="0.75">
      <c r="A181" s="27"/>
      <c r="B181" s="12"/>
      <c r="C181" s="18"/>
      <c r="D181" s="18"/>
      <c r="E181" s="18"/>
      <c r="F181" s="18"/>
      <c r="G181" s="18"/>
      <c r="H181" s="18"/>
      <c r="I181" s="106"/>
      <c r="J181" s="19"/>
      <c r="K181" s="97"/>
    </row>
    <row r="182" spans="1:11" x14ac:dyDescent="0.75">
      <c r="A182" s="27"/>
      <c r="C182" s="16"/>
      <c r="D182" s="16"/>
      <c r="E182" s="16"/>
      <c r="F182" s="15"/>
      <c r="G182" s="16"/>
      <c r="H182" s="16"/>
      <c r="I182" s="101"/>
      <c r="J182" s="9"/>
      <c r="K182" s="97"/>
    </row>
    <row r="183" spans="1:11" x14ac:dyDescent="0.75">
      <c r="A183" s="27"/>
      <c r="B183" s="12"/>
      <c r="C183" s="16"/>
      <c r="D183" s="16"/>
      <c r="E183" s="16"/>
      <c r="F183" s="15"/>
      <c r="G183" s="16"/>
      <c r="H183" s="16"/>
      <c r="I183" s="101"/>
      <c r="J183" s="9"/>
      <c r="K183" s="97"/>
    </row>
    <row r="184" spans="1:11" x14ac:dyDescent="0.75">
      <c r="A184" s="27"/>
      <c r="B184" s="12"/>
      <c r="C184" s="20"/>
      <c r="D184" s="20"/>
      <c r="E184" s="20"/>
      <c r="F184" s="15"/>
      <c r="G184" s="20"/>
      <c r="H184" s="20"/>
      <c r="I184" s="103"/>
      <c r="J184" s="9"/>
      <c r="K184" s="97"/>
    </row>
    <row r="185" spans="1:11" x14ac:dyDescent="0.75">
      <c r="A185" s="27"/>
      <c r="B185" s="12"/>
      <c r="C185" s="18"/>
      <c r="D185" s="18"/>
      <c r="E185" s="18"/>
      <c r="F185" s="18"/>
      <c r="G185" s="18"/>
      <c r="H185" s="18"/>
      <c r="I185" s="106"/>
      <c r="J185" s="19"/>
      <c r="K185" s="97"/>
    </row>
    <row r="186" spans="1:11" x14ac:dyDescent="0.75">
      <c r="A186" s="27"/>
      <c r="B186" s="29"/>
      <c r="C186" s="16"/>
      <c r="D186" s="16"/>
      <c r="E186" s="16"/>
      <c r="F186" s="15"/>
      <c r="G186" s="16"/>
      <c r="H186" s="16"/>
      <c r="I186" s="101"/>
      <c r="J186" s="9"/>
      <c r="K186" s="97"/>
    </row>
    <row r="187" spans="1:11" x14ac:dyDescent="0.75">
      <c r="A187" s="27"/>
      <c r="B187" s="12"/>
      <c r="C187" s="16"/>
      <c r="D187" s="16"/>
      <c r="E187" s="16"/>
      <c r="F187" s="15"/>
      <c r="G187" s="16"/>
      <c r="H187" s="16"/>
      <c r="I187" s="101"/>
      <c r="J187" s="9"/>
      <c r="K187" s="97"/>
    </row>
    <row r="188" spans="1:11" x14ac:dyDescent="0.75">
      <c r="A188" s="27"/>
      <c r="B188" s="12"/>
      <c r="C188" s="16"/>
      <c r="D188" s="16"/>
      <c r="E188" s="16"/>
      <c r="F188" s="15"/>
      <c r="G188" s="16"/>
      <c r="H188" s="16"/>
      <c r="I188" s="101"/>
      <c r="J188" s="9"/>
      <c r="K188" s="97"/>
    </row>
    <row r="189" spans="1:11" x14ac:dyDescent="0.75">
      <c r="A189" s="27"/>
      <c r="B189" s="12"/>
      <c r="C189" s="16"/>
      <c r="D189" s="16"/>
      <c r="E189" s="16"/>
      <c r="F189" s="15"/>
      <c r="G189" s="16"/>
      <c r="H189" s="16"/>
      <c r="I189" s="101"/>
      <c r="J189" s="9"/>
      <c r="K189" s="97"/>
    </row>
    <row r="190" spans="1:11" x14ac:dyDescent="0.75">
      <c r="A190" s="27"/>
      <c r="B190" s="12"/>
      <c r="C190" s="16"/>
      <c r="D190" s="16"/>
      <c r="E190" s="16"/>
      <c r="F190" s="15"/>
      <c r="G190" s="16"/>
      <c r="H190" s="16"/>
      <c r="I190" s="101"/>
      <c r="J190" s="9"/>
      <c r="K190" s="97"/>
    </row>
    <row r="191" spans="1:11" x14ac:dyDescent="0.75">
      <c r="A191" s="27"/>
      <c r="B191" s="12"/>
      <c r="C191" s="16"/>
      <c r="D191" s="16"/>
      <c r="E191" s="16"/>
      <c r="F191" s="15"/>
      <c r="G191" s="16"/>
      <c r="H191" s="16"/>
      <c r="I191" s="101"/>
      <c r="J191" s="9"/>
      <c r="K191" s="97"/>
    </row>
    <row r="192" spans="1:11" x14ac:dyDescent="0.75">
      <c r="A192" s="27"/>
      <c r="B192" s="12"/>
      <c r="C192" s="16"/>
      <c r="D192" s="16"/>
      <c r="E192" s="16"/>
      <c r="F192" s="15"/>
      <c r="G192" s="16"/>
      <c r="H192" s="16"/>
      <c r="I192" s="101"/>
      <c r="J192" s="9"/>
      <c r="K192" s="97"/>
    </row>
    <row r="193" spans="1:11" x14ac:dyDescent="0.75">
      <c r="A193" s="27"/>
      <c r="B193" s="12"/>
      <c r="C193" s="16"/>
      <c r="D193" s="16"/>
      <c r="E193" s="16"/>
      <c r="F193" s="15"/>
      <c r="G193" s="16"/>
      <c r="H193" s="16"/>
      <c r="I193" s="101"/>
      <c r="J193" s="9"/>
      <c r="K193" s="97"/>
    </row>
    <row r="194" spans="1:11" x14ac:dyDescent="0.75">
      <c r="A194" s="27"/>
      <c r="B194" s="12"/>
      <c r="C194" s="16"/>
      <c r="D194" s="16"/>
      <c r="E194" s="16"/>
      <c r="F194" s="15"/>
      <c r="G194" s="16"/>
      <c r="H194" s="16"/>
      <c r="I194" s="101"/>
      <c r="J194" s="9"/>
      <c r="K194" s="97"/>
    </row>
    <row r="195" spans="1:11" x14ac:dyDescent="0.75">
      <c r="A195" s="27"/>
      <c r="B195" s="12"/>
      <c r="C195" s="16"/>
      <c r="D195" s="16"/>
      <c r="E195" s="16"/>
      <c r="F195" s="15"/>
      <c r="G195" s="16"/>
      <c r="H195" s="16"/>
      <c r="I195" s="101"/>
      <c r="J195" s="9"/>
      <c r="K195" s="97"/>
    </row>
    <row r="196" spans="1:11" x14ac:dyDescent="0.75">
      <c r="A196" s="27"/>
      <c r="B196" s="12"/>
      <c r="C196" s="16"/>
      <c r="D196" s="16"/>
      <c r="E196" s="16"/>
      <c r="F196" s="15"/>
      <c r="G196" s="16"/>
      <c r="H196" s="16"/>
      <c r="I196" s="101"/>
      <c r="J196" s="9"/>
      <c r="K196" s="97"/>
    </row>
    <row r="197" spans="1:11" x14ac:dyDescent="0.75">
      <c r="A197" s="27"/>
      <c r="B197" s="12"/>
      <c r="C197" s="16"/>
      <c r="D197" s="16"/>
      <c r="E197" s="16"/>
      <c r="F197" s="15"/>
      <c r="G197" s="16"/>
      <c r="H197" s="16"/>
      <c r="I197" s="101"/>
      <c r="J197" s="9"/>
      <c r="K197" s="97"/>
    </row>
    <row r="198" spans="1:11" x14ac:dyDescent="0.75">
      <c r="A198" s="27"/>
      <c r="B198" s="12"/>
      <c r="C198" s="16"/>
      <c r="D198" s="16"/>
      <c r="E198" s="16"/>
      <c r="F198" s="15"/>
      <c r="G198" s="16"/>
      <c r="H198" s="16"/>
      <c r="I198" s="101"/>
      <c r="J198" s="9"/>
      <c r="K198" s="97"/>
    </row>
    <row r="199" spans="1:11" x14ac:dyDescent="0.75">
      <c r="A199" s="27"/>
      <c r="B199" s="12"/>
      <c r="C199" s="16"/>
      <c r="D199" s="16"/>
      <c r="E199" s="16"/>
      <c r="F199" s="15"/>
      <c r="G199" s="16"/>
      <c r="H199" s="16"/>
      <c r="I199" s="101"/>
      <c r="J199" s="9"/>
      <c r="K199" s="97"/>
    </row>
    <row r="200" spans="1:11" x14ac:dyDescent="0.75">
      <c r="A200" s="27"/>
      <c r="B200" s="12"/>
      <c r="C200" s="16"/>
      <c r="D200" s="16"/>
      <c r="E200" s="16"/>
      <c r="F200" s="15"/>
      <c r="G200" s="16"/>
      <c r="H200" s="16"/>
      <c r="I200" s="101"/>
      <c r="J200" s="9"/>
      <c r="K200" s="97"/>
    </row>
    <row r="201" spans="1:11" x14ac:dyDescent="0.75">
      <c r="A201" s="27"/>
      <c r="B201" s="12"/>
      <c r="C201" s="16"/>
      <c r="D201" s="16"/>
      <c r="E201" s="16"/>
      <c r="F201" s="15"/>
      <c r="G201" s="16"/>
      <c r="H201" s="16"/>
      <c r="I201" s="101"/>
      <c r="J201" s="9"/>
      <c r="K201" s="97"/>
    </row>
    <row r="202" spans="1:11" x14ac:dyDescent="0.75">
      <c r="A202" s="27"/>
      <c r="B202" s="12"/>
      <c r="C202" s="16"/>
      <c r="D202" s="16"/>
      <c r="E202" s="16"/>
      <c r="F202" s="15"/>
      <c r="G202" s="16"/>
      <c r="H202" s="16"/>
      <c r="I202" s="101"/>
      <c r="J202" s="9"/>
      <c r="K202" s="97"/>
    </row>
    <row r="203" spans="1:11" x14ac:dyDescent="0.75">
      <c r="A203" s="27"/>
      <c r="B203" s="12"/>
      <c r="C203" s="16"/>
      <c r="D203" s="16"/>
      <c r="E203" s="16"/>
      <c r="F203" s="15"/>
      <c r="G203" s="16"/>
      <c r="H203" s="16"/>
      <c r="I203" s="101"/>
      <c r="J203" s="9"/>
      <c r="K203" s="97"/>
    </row>
    <row r="204" spans="1:11" x14ac:dyDescent="0.75">
      <c r="A204" s="27"/>
      <c r="B204" s="12"/>
      <c r="C204" s="16"/>
      <c r="D204" s="16"/>
      <c r="E204" s="16"/>
      <c r="F204" s="15"/>
      <c r="G204" s="16"/>
      <c r="H204" s="16"/>
      <c r="I204" s="101"/>
      <c r="J204" s="9"/>
      <c r="K204" s="97"/>
    </row>
    <row r="205" spans="1:11" x14ac:dyDescent="0.75">
      <c r="A205" s="27"/>
      <c r="B205" s="12"/>
      <c r="C205" s="16"/>
      <c r="D205" s="16"/>
      <c r="E205" s="16"/>
      <c r="F205" s="15"/>
      <c r="G205" s="16"/>
      <c r="H205" s="16"/>
      <c r="I205" s="101"/>
      <c r="J205" s="9"/>
      <c r="K205" s="97"/>
    </row>
    <row r="206" spans="1:11" x14ac:dyDescent="0.75">
      <c r="A206" s="27"/>
      <c r="B206" s="12"/>
      <c r="C206" s="16"/>
      <c r="D206" s="16"/>
      <c r="E206" s="16"/>
      <c r="F206" s="15"/>
      <c r="G206" s="16"/>
      <c r="H206" s="16"/>
      <c r="I206" s="101"/>
      <c r="J206" s="9"/>
      <c r="K206" s="97"/>
    </row>
    <row r="207" spans="1:11" x14ac:dyDescent="0.75">
      <c r="A207" s="27"/>
      <c r="B207" s="12"/>
      <c r="C207" s="16"/>
      <c r="D207" s="16"/>
      <c r="E207" s="16"/>
      <c r="F207" s="15"/>
      <c r="G207" s="16"/>
      <c r="H207" s="16"/>
      <c r="I207" s="101"/>
      <c r="J207" s="9"/>
      <c r="K207" s="97"/>
    </row>
    <row r="208" spans="1:11" x14ac:dyDescent="0.75">
      <c r="A208" s="27"/>
      <c r="B208" s="12"/>
      <c r="C208" s="16"/>
      <c r="D208" s="16"/>
      <c r="E208" s="16"/>
      <c r="F208" s="15"/>
      <c r="G208" s="16"/>
      <c r="H208" s="16"/>
      <c r="I208" s="101"/>
      <c r="J208" s="9"/>
      <c r="K208" s="97"/>
    </row>
    <row r="209" spans="1:11" x14ac:dyDescent="0.75">
      <c r="A209" s="27"/>
      <c r="B209" s="12"/>
      <c r="C209" s="16"/>
      <c r="D209" s="16"/>
      <c r="E209" s="16"/>
      <c r="F209" s="15"/>
      <c r="G209" s="16"/>
      <c r="H209" s="16"/>
      <c r="I209" s="101"/>
      <c r="J209" s="9"/>
      <c r="K209" s="97"/>
    </row>
    <row r="210" spans="1:11" x14ac:dyDescent="0.75">
      <c r="A210" s="27"/>
      <c r="B210" s="12"/>
      <c r="C210" s="16"/>
      <c r="D210" s="16"/>
      <c r="E210" s="16"/>
      <c r="F210" s="15"/>
      <c r="G210" s="16"/>
      <c r="H210" s="16"/>
      <c r="I210" s="101"/>
      <c r="J210" s="9"/>
      <c r="K210" s="97"/>
    </row>
    <row r="211" spans="1:11" x14ac:dyDescent="0.75">
      <c r="A211" s="27"/>
      <c r="B211" s="12"/>
      <c r="C211" s="16"/>
      <c r="D211" s="16"/>
      <c r="E211" s="16"/>
      <c r="F211" s="15"/>
      <c r="G211" s="16"/>
      <c r="H211" s="16"/>
      <c r="I211" s="101"/>
      <c r="J211" s="9"/>
      <c r="K211" s="97"/>
    </row>
    <row r="212" spans="1:11" x14ac:dyDescent="0.75">
      <c r="A212" s="27"/>
      <c r="B212" s="29"/>
      <c r="C212" s="16"/>
      <c r="D212" s="16"/>
      <c r="E212" s="16"/>
      <c r="F212" s="15"/>
      <c r="G212" s="16"/>
      <c r="H212" s="16"/>
      <c r="I212" s="101"/>
      <c r="J212" s="9"/>
      <c r="K212" s="97"/>
    </row>
    <row r="213" spans="1:11" x14ac:dyDescent="0.75">
      <c r="A213" s="27"/>
      <c r="B213" s="12"/>
      <c r="C213" s="16"/>
      <c r="D213" s="16"/>
      <c r="E213" s="16"/>
      <c r="F213" s="15"/>
      <c r="G213" s="16"/>
      <c r="H213" s="16"/>
      <c r="I213" s="101"/>
      <c r="J213" s="9"/>
      <c r="K213" s="97"/>
    </row>
    <row r="214" spans="1:11" x14ac:dyDescent="0.75">
      <c r="A214" s="27"/>
      <c r="C214" s="16"/>
      <c r="D214" s="16"/>
      <c r="E214" s="16"/>
      <c r="F214" s="15"/>
      <c r="G214" s="16"/>
      <c r="H214" s="16"/>
      <c r="I214" s="101"/>
      <c r="J214" s="9"/>
      <c r="K214" s="97"/>
    </row>
    <row r="215" spans="1:11" x14ac:dyDescent="0.75">
      <c r="A215" s="27"/>
      <c r="C215" s="16"/>
      <c r="D215" s="16"/>
      <c r="E215" s="16"/>
      <c r="F215" s="15"/>
      <c r="G215" s="16"/>
      <c r="H215" s="16"/>
      <c r="I215" s="101"/>
      <c r="J215" s="9"/>
      <c r="K215" s="97"/>
    </row>
    <row r="216" spans="1:11" x14ac:dyDescent="0.75">
      <c r="A216" s="27"/>
      <c r="C216" s="20"/>
      <c r="D216" s="20"/>
      <c r="E216" s="20"/>
      <c r="F216" s="15"/>
      <c r="G216" s="20"/>
      <c r="H216" s="20"/>
      <c r="I216" s="103"/>
      <c r="J216" s="9"/>
      <c r="K216" s="97"/>
    </row>
    <row r="217" spans="1:11" x14ac:dyDescent="0.75">
      <c r="A217" s="27"/>
      <c r="C217" s="18"/>
      <c r="D217" s="18"/>
      <c r="E217" s="18"/>
      <c r="F217" s="18"/>
      <c r="G217" s="18"/>
      <c r="H217" s="18"/>
      <c r="I217" s="106"/>
      <c r="J217" s="19"/>
      <c r="K217" s="97"/>
    </row>
    <row r="218" spans="1:11" x14ac:dyDescent="0.75">
      <c r="A218" s="27"/>
      <c r="C218" s="16"/>
      <c r="D218" s="16"/>
      <c r="E218" s="16"/>
      <c r="F218" s="15"/>
      <c r="G218" s="16"/>
      <c r="H218" s="16"/>
      <c r="I218" s="101"/>
      <c r="J218" s="9"/>
      <c r="K218" s="97"/>
    </row>
    <row r="219" spans="1:11" x14ac:dyDescent="0.75">
      <c r="A219" s="27"/>
      <c r="B219" s="12"/>
      <c r="C219" s="20"/>
      <c r="D219" s="20"/>
      <c r="E219" s="20"/>
      <c r="F219" s="15"/>
      <c r="G219" s="20"/>
      <c r="H219" s="20"/>
      <c r="I219" s="103"/>
      <c r="J219" s="9"/>
      <c r="K219" s="97"/>
    </row>
    <row r="220" spans="1:11" x14ac:dyDescent="0.75">
      <c r="A220" s="27"/>
      <c r="B220" s="12"/>
      <c r="C220" s="18"/>
      <c r="D220" s="18"/>
      <c r="E220" s="18"/>
      <c r="F220" s="18"/>
      <c r="G220" s="18"/>
      <c r="H220" s="18"/>
      <c r="I220" s="106"/>
      <c r="J220" s="19"/>
      <c r="K220" s="97"/>
    </row>
    <row r="221" spans="1:11" x14ac:dyDescent="0.75">
      <c r="A221" s="27"/>
      <c r="B221" s="29"/>
      <c r="C221" s="16"/>
      <c r="D221" s="16"/>
      <c r="E221" s="16"/>
      <c r="F221" s="15"/>
      <c r="G221" s="16"/>
      <c r="H221" s="16"/>
      <c r="I221" s="101"/>
      <c r="J221" s="9"/>
      <c r="K221" s="97"/>
    </row>
    <row r="222" spans="1:11" x14ac:dyDescent="0.75">
      <c r="A222" s="27"/>
      <c r="B222" s="12"/>
      <c r="C222" s="16"/>
      <c r="D222" s="16"/>
      <c r="E222" s="16"/>
      <c r="F222" s="15"/>
      <c r="G222" s="16"/>
      <c r="H222" s="16"/>
      <c r="I222" s="101"/>
      <c r="J222" s="9"/>
      <c r="K222" s="97"/>
    </row>
    <row r="223" spans="1:11" x14ac:dyDescent="0.75">
      <c r="A223" s="27"/>
      <c r="B223" s="12"/>
      <c r="C223" s="16"/>
      <c r="D223" s="16"/>
      <c r="E223" s="16"/>
      <c r="F223" s="15"/>
      <c r="G223" s="16"/>
      <c r="H223" s="16"/>
      <c r="I223" s="101"/>
      <c r="J223" s="9"/>
      <c r="K223" s="97"/>
    </row>
    <row r="224" spans="1:11" x14ac:dyDescent="0.75">
      <c r="A224" s="27"/>
      <c r="B224" s="12"/>
      <c r="C224" s="16"/>
      <c r="D224" s="16"/>
      <c r="E224" s="16"/>
      <c r="F224" s="15"/>
      <c r="G224" s="16"/>
      <c r="H224" s="16"/>
      <c r="I224" s="101"/>
      <c r="J224" s="9"/>
      <c r="K224" s="97"/>
    </row>
    <row r="225" spans="1:11" x14ac:dyDescent="0.75">
      <c r="A225" s="27"/>
      <c r="B225" s="12"/>
      <c r="C225" s="16"/>
      <c r="D225" s="16"/>
      <c r="E225" s="16"/>
      <c r="F225" s="15"/>
      <c r="G225" s="16"/>
      <c r="H225" s="16"/>
      <c r="I225" s="101"/>
      <c r="J225" s="9"/>
      <c r="K225" s="97"/>
    </row>
    <row r="226" spans="1:11" x14ac:dyDescent="0.75">
      <c r="A226" s="27"/>
      <c r="B226" s="12"/>
      <c r="C226" s="16"/>
      <c r="D226" s="16"/>
      <c r="E226" s="16"/>
      <c r="F226" s="15"/>
      <c r="G226" s="16"/>
      <c r="H226" s="16"/>
      <c r="I226" s="101"/>
      <c r="J226" s="9"/>
      <c r="K226" s="97"/>
    </row>
    <row r="227" spans="1:11" x14ac:dyDescent="0.75">
      <c r="A227" s="27"/>
      <c r="B227" s="12"/>
      <c r="C227" s="20"/>
      <c r="D227" s="20"/>
      <c r="E227" s="20"/>
      <c r="F227" s="15"/>
      <c r="G227" s="20"/>
      <c r="H227" s="20"/>
      <c r="I227" s="103"/>
      <c r="J227" s="9"/>
      <c r="K227" s="97"/>
    </row>
    <row r="228" spans="1:11" x14ac:dyDescent="0.75">
      <c r="A228" s="27"/>
      <c r="B228" s="9"/>
      <c r="C228" s="18"/>
      <c r="D228" s="18"/>
      <c r="E228" s="18"/>
      <c r="F228" s="18"/>
      <c r="G228" s="18"/>
      <c r="H228" s="18"/>
      <c r="I228" s="106"/>
      <c r="J228" s="19"/>
      <c r="K228" s="97"/>
    </row>
    <row r="229" spans="1:11" x14ac:dyDescent="0.75">
      <c r="A229" s="27"/>
      <c r="B229" s="29"/>
      <c r="C229" s="16"/>
      <c r="D229" s="16"/>
      <c r="E229" s="16"/>
      <c r="F229" s="15"/>
      <c r="G229" s="16"/>
      <c r="H229" s="16"/>
      <c r="I229" s="101"/>
      <c r="J229" s="9"/>
      <c r="K229" s="97"/>
    </row>
    <row r="230" spans="1:11" x14ac:dyDescent="0.75">
      <c r="A230" s="27"/>
      <c r="B230" s="12"/>
      <c r="C230" s="16"/>
      <c r="D230" s="16"/>
      <c r="E230" s="16"/>
      <c r="F230" s="15"/>
      <c r="G230" s="16"/>
      <c r="H230" s="16"/>
      <c r="I230" s="101"/>
      <c r="J230" s="9"/>
      <c r="K230" s="97"/>
    </row>
    <row r="231" spans="1:11" x14ac:dyDescent="0.75">
      <c r="A231" s="27"/>
      <c r="B231" s="12"/>
      <c r="C231" s="16"/>
      <c r="D231" s="16"/>
      <c r="E231" s="16"/>
      <c r="F231" s="15"/>
      <c r="G231" s="16"/>
      <c r="H231" s="16"/>
      <c r="I231" s="101"/>
      <c r="J231" s="9"/>
      <c r="K231" s="97"/>
    </row>
    <row r="232" spans="1:11" x14ac:dyDescent="0.75">
      <c r="A232" s="27"/>
      <c r="B232" s="12"/>
      <c r="C232" s="16"/>
      <c r="D232" s="16"/>
      <c r="E232" s="16"/>
      <c r="F232" s="15"/>
      <c r="G232" s="16"/>
      <c r="H232" s="16"/>
      <c r="I232" s="101"/>
      <c r="J232" s="9"/>
      <c r="K232" s="97"/>
    </row>
    <row r="233" spans="1:11" x14ac:dyDescent="0.75">
      <c r="A233" s="27"/>
      <c r="B233" s="12"/>
      <c r="C233" s="20"/>
      <c r="D233" s="20"/>
      <c r="E233" s="20"/>
      <c r="F233" s="20"/>
      <c r="G233" s="20"/>
      <c r="H233" s="20"/>
      <c r="I233" s="103"/>
      <c r="J233" s="9"/>
      <c r="K233" s="97"/>
    </row>
    <row r="234" spans="1:11" x14ac:dyDescent="0.75">
      <c r="A234" s="27"/>
      <c r="B234" s="12"/>
      <c r="C234" s="18"/>
      <c r="D234" s="18"/>
      <c r="E234" s="18"/>
      <c r="F234" s="18"/>
      <c r="G234" s="18"/>
      <c r="H234" s="18"/>
      <c r="I234" s="106"/>
      <c r="J234" s="19"/>
      <c r="K234" s="97"/>
    </row>
    <row r="235" spans="1:11" x14ac:dyDescent="0.75">
      <c r="A235" s="27"/>
      <c r="B235" s="29"/>
      <c r="C235" s="16"/>
      <c r="D235" s="16"/>
      <c r="E235" s="16"/>
      <c r="F235" s="15"/>
      <c r="G235" s="16"/>
      <c r="H235" s="16"/>
      <c r="I235" s="101"/>
      <c r="J235" s="9"/>
      <c r="K235" s="97"/>
    </row>
    <row r="236" spans="1:11" x14ac:dyDescent="0.75">
      <c r="A236" s="24"/>
      <c r="B236" s="12"/>
      <c r="C236" s="20"/>
      <c r="D236" s="20"/>
      <c r="E236" s="20"/>
      <c r="F236" s="15"/>
      <c r="G236" s="20"/>
      <c r="H236" s="20"/>
      <c r="I236" s="103"/>
      <c r="J236" s="9"/>
      <c r="K236" s="97"/>
    </row>
    <row r="237" spans="1:11" x14ac:dyDescent="0.75">
      <c r="A237" s="27"/>
      <c r="B237" s="12"/>
      <c r="C237" s="20"/>
      <c r="D237" s="20"/>
      <c r="E237" s="20"/>
      <c r="F237" s="15"/>
      <c r="G237" s="20"/>
      <c r="H237" s="20"/>
      <c r="I237" s="103"/>
      <c r="J237" s="9"/>
      <c r="K237" s="97"/>
    </row>
    <row r="238" spans="1:11" x14ac:dyDescent="0.75">
      <c r="A238" s="27"/>
      <c r="B238" s="29"/>
      <c r="C238" s="20"/>
      <c r="D238" s="20"/>
      <c r="E238" s="20"/>
      <c r="F238" s="15"/>
      <c r="G238" s="20"/>
      <c r="H238" s="20"/>
      <c r="I238" s="103"/>
      <c r="J238" s="9"/>
      <c r="K238" s="97"/>
    </row>
    <row r="239" spans="1:11" x14ac:dyDescent="0.75">
      <c r="A239" s="27"/>
      <c r="B239" s="12"/>
      <c r="C239" s="20"/>
      <c r="D239" s="20"/>
      <c r="E239" s="20"/>
      <c r="F239" s="15"/>
      <c r="G239" s="20"/>
      <c r="H239" s="20"/>
      <c r="I239" s="103"/>
      <c r="J239" s="9"/>
      <c r="K239" s="97"/>
    </row>
    <row r="240" spans="1:11" x14ac:dyDescent="0.75">
      <c r="A240" s="27"/>
      <c r="B240" s="12"/>
      <c r="C240" s="31"/>
      <c r="D240" s="31"/>
      <c r="E240" s="31"/>
      <c r="F240" s="15"/>
      <c r="G240" s="31"/>
      <c r="H240" s="31"/>
      <c r="I240" s="107"/>
      <c r="J240" s="9"/>
      <c r="K240" s="97"/>
    </row>
    <row r="241" spans="1:11" x14ac:dyDescent="0.75">
      <c r="A241" s="27"/>
      <c r="B241" s="12"/>
      <c r="C241" s="32"/>
      <c r="D241" s="32"/>
      <c r="E241" s="32"/>
      <c r="F241" s="15"/>
      <c r="G241" s="32"/>
      <c r="H241" s="32"/>
      <c r="I241" s="108"/>
      <c r="J241" s="9"/>
      <c r="K241" s="97"/>
    </row>
    <row r="242" spans="1:11" x14ac:dyDescent="0.75">
      <c r="A242" s="27"/>
      <c r="B242" s="29"/>
      <c r="C242" s="23"/>
      <c r="D242" s="23"/>
      <c r="E242" s="23"/>
      <c r="F242" s="35"/>
      <c r="G242" s="23"/>
      <c r="H242" s="23"/>
      <c r="I242" s="109"/>
      <c r="J242" s="116"/>
      <c r="K242" s="112"/>
    </row>
    <row r="243" spans="1:11" x14ac:dyDescent="0.75">
      <c r="A243" s="27"/>
      <c r="B243" s="12"/>
      <c r="C243" s="32"/>
      <c r="D243" s="32"/>
      <c r="E243" s="32"/>
      <c r="F243" s="15"/>
      <c r="G243" s="32"/>
      <c r="H243" s="32"/>
      <c r="I243" s="108"/>
      <c r="J243" s="9"/>
      <c r="K243" s="97"/>
    </row>
    <row r="244" spans="1:11" x14ac:dyDescent="0.75">
      <c r="A244" s="30"/>
      <c r="B244" s="29"/>
      <c r="C244" s="16"/>
      <c r="D244" s="16"/>
      <c r="E244" s="16"/>
      <c r="F244" s="15"/>
      <c r="G244" s="16"/>
      <c r="H244" s="16"/>
      <c r="I244" s="101"/>
      <c r="J244" s="9"/>
      <c r="K244" s="97"/>
    </row>
    <row r="245" spans="1:11" x14ac:dyDescent="0.75">
      <c r="A245" s="22"/>
      <c r="B245" s="34"/>
      <c r="C245" s="16"/>
      <c r="D245" s="16"/>
      <c r="E245" s="16"/>
      <c r="F245" s="15"/>
      <c r="G245" s="16"/>
      <c r="H245" s="16"/>
      <c r="I245" s="101"/>
      <c r="J245" s="9"/>
      <c r="K245" s="97"/>
    </row>
    <row r="246" spans="1:11" x14ac:dyDescent="0.75">
      <c r="A246" s="33"/>
      <c r="B246" s="12"/>
      <c r="C246" s="16"/>
      <c r="D246" s="16"/>
      <c r="E246" s="16"/>
      <c r="F246" s="15"/>
      <c r="G246" s="16"/>
      <c r="H246" s="16"/>
      <c r="I246" s="101"/>
      <c r="J246" s="9"/>
      <c r="K246" s="97"/>
    </row>
    <row r="247" spans="1:11" x14ac:dyDescent="0.75">
      <c r="A247" s="24"/>
      <c r="B247" s="12"/>
      <c r="C247" s="16"/>
      <c r="D247" s="16"/>
      <c r="E247" s="16"/>
      <c r="F247" s="15"/>
      <c r="G247" s="16"/>
      <c r="H247" s="16"/>
      <c r="I247" s="101"/>
      <c r="J247" s="9"/>
      <c r="K247" s="97"/>
    </row>
    <row r="248" spans="1:11" x14ac:dyDescent="0.75">
      <c r="A248" s="24"/>
      <c r="B248" s="12"/>
      <c r="C248" s="16"/>
      <c r="D248" s="16"/>
      <c r="E248" s="16"/>
      <c r="F248" s="15"/>
      <c r="G248" s="16"/>
      <c r="H248" s="16"/>
      <c r="I248" s="101"/>
      <c r="J248" s="9"/>
      <c r="K248" s="97"/>
    </row>
    <row r="249" spans="1:11" x14ac:dyDescent="0.75">
      <c r="A249" s="24"/>
      <c r="B249" s="12"/>
      <c r="C249" s="16"/>
      <c r="D249" s="16"/>
      <c r="E249" s="16"/>
      <c r="F249" s="15"/>
      <c r="G249" s="16"/>
      <c r="H249" s="16"/>
      <c r="I249" s="101"/>
      <c r="J249" s="9"/>
      <c r="K249" s="97"/>
    </row>
    <row r="250" spans="1:11" x14ac:dyDescent="0.75">
      <c r="A250" s="24"/>
      <c r="B250" s="12"/>
      <c r="C250" s="16"/>
      <c r="D250" s="16"/>
      <c r="E250" s="16"/>
      <c r="F250" s="15"/>
      <c r="G250" s="16"/>
      <c r="H250" s="16"/>
      <c r="I250" s="101"/>
      <c r="J250" s="9"/>
      <c r="K250" s="97"/>
    </row>
    <row r="251" spans="1:11" x14ac:dyDescent="0.75">
      <c r="A251" s="24"/>
      <c r="B251" s="12"/>
      <c r="C251" s="16"/>
      <c r="D251" s="16"/>
      <c r="E251" s="16"/>
      <c r="F251" s="15"/>
      <c r="G251" s="16"/>
      <c r="H251" s="16"/>
      <c r="I251" s="101"/>
      <c r="J251" s="9"/>
      <c r="K251" s="97"/>
    </row>
    <row r="252" spans="1:11" x14ac:dyDescent="0.75">
      <c r="A252" s="24"/>
      <c r="B252" s="12"/>
      <c r="C252" s="16"/>
      <c r="D252" s="16"/>
      <c r="E252" s="16"/>
      <c r="F252" s="15"/>
      <c r="G252" s="16"/>
      <c r="H252" s="16"/>
      <c r="I252" s="101"/>
      <c r="J252" s="9"/>
      <c r="K252" s="97"/>
    </row>
    <row r="253" spans="1:11" x14ac:dyDescent="0.75">
      <c r="A253" s="24"/>
      <c r="B253" s="12"/>
      <c r="C253" s="20"/>
      <c r="D253" s="20"/>
      <c r="E253" s="20"/>
      <c r="F253" s="15"/>
      <c r="G253" s="20"/>
      <c r="H253" s="20"/>
      <c r="I253" s="103"/>
      <c r="J253" s="9"/>
      <c r="K253" s="97"/>
    </row>
    <row r="254" spans="1:11" x14ac:dyDescent="0.75">
      <c r="A254" s="24"/>
      <c r="B254" s="12"/>
      <c r="C254" s="26"/>
      <c r="D254" s="26"/>
      <c r="E254" s="26"/>
      <c r="F254" s="9"/>
      <c r="G254" s="26"/>
      <c r="H254" s="26"/>
      <c r="I254" s="26"/>
      <c r="J254" s="9"/>
      <c r="K254" s="26"/>
    </row>
    <row r="255" spans="1:11" x14ac:dyDescent="0.75">
      <c r="A255" s="24"/>
      <c r="B255" s="29"/>
    </row>
    <row r="256" spans="1:11" x14ac:dyDescent="0.75">
      <c r="A256" s="24"/>
      <c r="B256" s="12"/>
    </row>
    <row r="257" spans="1:1" x14ac:dyDescent="0.75">
      <c r="A257" s="24"/>
    </row>
    <row r="258" spans="1:1" x14ac:dyDescent="0.75">
      <c r="A258" s="25"/>
    </row>
  </sheetData>
  <mergeCells count="4">
    <mergeCell ref="G5:I5"/>
    <mergeCell ref="A1:I1"/>
    <mergeCell ref="A2:I2"/>
    <mergeCell ref="A3:I3"/>
  </mergeCells>
  <conditionalFormatting sqref="H24 C254:E254 K254 H71:I71 C202:E207 C218:E218 C158:E165 C168:E169 E71 C16:D16 C51:D51 C60:D60 I118 H143:I145 C143:E145 H146 H55 H53 C55:E55 C53:E53 C19:D24 E19 H168:I168 H218:I218 H253:I254 H158:I166 H202:I215 H92 G254 G16:I16 G70:H70 G117:H118 G20:H20 G120:H121 G29:H29 G50:H50 G74:H74 G154:H154 G124:H124 G109:H109 G80:H80 G38:H38 G131:H131 G58:H59 G102:H103 G19:I19 G105:I105 G61:G69 G169:I179 G114:H114 G96:I97 G142:H142 G72:G73 G107:G108 G119 G133 G146:G153 G122:G123 G76:G79 G37 G127:G130 G88:G91 G98:G101 G136:G139 G22:G23 G115:G116 G15 G111:G113 G84:H85 H95 B142:E142">
    <cfRule type="cellIs" dxfId="425" priority="1749" operator="lessThan">
      <formula>0</formula>
    </cfRule>
  </conditionalFormatting>
  <conditionalFormatting sqref="H241 H243">
    <cfRule type="cellIs" dxfId="424" priority="1748" operator="lessThan">
      <formula>0</formula>
    </cfRule>
  </conditionalFormatting>
  <conditionalFormatting sqref="H14">
    <cfRule type="cellIs" dxfId="423" priority="1747" operator="lessThan">
      <formula>0</formula>
    </cfRule>
  </conditionalFormatting>
  <conditionalFormatting sqref="H235">
    <cfRule type="cellIs" dxfId="422" priority="1729" operator="lessThan">
      <formula>0</formula>
    </cfRule>
  </conditionalFormatting>
  <conditionalFormatting sqref="F24 J24 H24">
    <cfRule type="cellIs" dxfId="421" priority="1727" operator="lessThan">
      <formula>0</formula>
    </cfRule>
  </conditionalFormatting>
  <conditionalFormatting sqref="C227:E227">
    <cfRule type="cellIs" dxfId="420" priority="1715" operator="lessThan">
      <formula>0</formula>
    </cfRule>
  </conditionalFormatting>
  <conditionalFormatting sqref="E115">
    <cfRule type="cellIs" dxfId="419" priority="1720" operator="lessThan">
      <formula>0</formula>
    </cfRule>
  </conditionalFormatting>
  <conditionalFormatting sqref="C180:E180">
    <cfRule type="cellIs" dxfId="418" priority="1718" operator="lessThan">
      <formula>0</formula>
    </cfRule>
  </conditionalFormatting>
  <conditionalFormatting sqref="C216:E216">
    <cfRule type="cellIs" dxfId="417" priority="1717" operator="lessThan">
      <formula>0</formula>
    </cfRule>
  </conditionalFormatting>
  <conditionalFormatting sqref="C219:E219">
    <cfRule type="cellIs" dxfId="416" priority="1716" operator="lessThan">
      <formula>0</formula>
    </cfRule>
  </conditionalFormatting>
  <conditionalFormatting sqref="I24">
    <cfRule type="cellIs" dxfId="415" priority="1708" operator="lessThan">
      <formula>0</formula>
    </cfRule>
  </conditionalFormatting>
  <conditionalFormatting sqref="I241 I243">
    <cfRule type="cellIs" dxfId="414" priority="1707" operator="lessThan">
      <formula>0</formula>
    </cfRule>
  </conditionalFormatting>
  <conditionalFormatting sqref="H182:H183">
    <cfRule type="cellIs" dxfId="413" priority="1734" operator="lessThan">
      <formula>0</formula>
    </cfRule>
  </conditionalFormatting>
  <conditionalFormatting sqref="E39">
    <cfRule type="cellIs" dxfId="412" priority="1696" operator="lessThan">
      <formula>0</formula>
    </cfRule>
  </conditionalFormatting>
  <conditionalFormatting sqref="E39">
    <cfRule type="cellIs" dxfId="411" priority="1697" operator="lessThan">
      <formula>0</formula>
    </cfRule>
  </conditionalFormatting>
  <conditionalFormatting sqref="F39 J39 H39">
    <cfRule type="cellIs" dxfId="410" priority="1698" operator="lessThan">
      <formula>0</formula>
    </cfRule>
  </conditionalFormatting>
  <conditionalFormatting sqref="F51 J51">
    <cfRule type="cellIs" dxfId="409" priority="1688" operator="lessThan">
      <formula>0</formula>
    </cfRule>
  </conditionalFormatting>
  <conditionalFormatting sqref="I39">
    <cfRule type="cellIs" dxfId="408" priority="1695" operator="lessThan">
      <formula>0</formula>
    </cfRule>
  </conditionalFormatting>
  <conditionalFormatting sqref="I39">
    <cfRule type="cellIs" dxfId="407" priority="1694" operator="lessThan">
      <formula>0</formula>
    </cfRule>
  </conditionalFormatting>
  <conditionalFormatting sqref="J63:J65">
    <cfRule type="cellIs" dxfId="406" priority="1652" operator="lessThan">
      <formula>0</formula>
    </cfRule>
  </conditionalFormatting>
  <conditionalFormatting sqref="I167">
    <cfRule type="cellIs" dxfId="405" priority="1595" operator="lessThan">
      <formula>0</formula>
    </cfRule>
  </conditionalFormatting>
  <conditionalFormatting sqref="H125:H126">
    <cfRule type="cellIs" dxfId="404" priority="1739" operator="lessThan">
      <formula>0</formula>
    </cfRule>
  </conditionalFormatting>
  <conditionalFormatting sqref="H155">
    <cfRule type="cellIs" dxfId="403" priority="1735" operator="lessThan">
      <formula>0</formula>
    </cfRule>
  </conditionalFormatting>
  <conditionalFormatting sqref="H186:H199 H201">
    <cfRule type="cellIs" dxfId="402" priority="1733" operator="lessThan">
      <formula>0</formula>
    </cfRule>
  </conditionalFormatting>
  <conditionalFormatting sqref="H221:H224 H226">
    <cfRule type="cellIs" dxfId="401" priority="1732" operator="lessThan">
      <formula>0</formula>
    </cfRule>
  </conditionalFormatting>
  <conditionalFormatting sqref="H229:H232">
    <cfRule type="cellIs" dxfId="400" priority="1731" operator="lessThan">
      <formula>0</formula>
    </cfRule>
  </conditionalFormatting>
  <conditionalFormatting sqref="F102:F104 J102:J104">
    <cfRule type="cellIs" dxfId="399" priority="1646" operator="lessThan">
      <formula>0</formula>
    </cfRule>
  </conditionalFormatting>
  <conditionalFormatting sqref="I181">
    <cfRule type="cellIs" dxfId="398" priority="1589" operator="lessThan">
      <formula>0</formula>
    </cfRule>
  </conditionalFormatting>
  <conditionalFormatting sqref="I181">
    <cfRule type="cellIs" dxfId="397" priority="1588" operator="lessThan">
      <formula>0</formula>
    </cfRule>
  </conditionalFormatting>
  <conditionalFormatting sqref="C185:E185">
    <cfRule type="cellIs" dxfId="396" priority="1585" operator="lessThan">
      <formula>0</formula>
    </cfRule>
  </conditionalFormatting>
  <conditionalFormatting sqref="C185:E185">
    <cfRule type="cellIs" dxfId="395" priority="1584" operator="lessThan">
      <formula>0</formula>
    </cfRule>
  </conditionalFormatting>
  <conditionalFormatting sqref="F117:F118 J117:J119">
    <cfRule type="cellIs" dxfId="394" priority="1634" operator="lessThan">
      <formula>0</formula>
    </cfRule>
  </conditionalFormatting>
  <conditionalFormatting sqref="H217">
    <cfRule type="cellIs" dxfId="393" priority="1581" operator="lessThan">
      <formula>0</formula>
    </cfRule>
  </conditionalFormatting>
  <conditionalFormatting sqref="F220 J220 H220">
    <cfRule type="cellIs" dxfId="392" priority="1574" operator="lessThan">
      <formula>0</formula>
    </cfRule>
  </conditionalFormatting>
  <conditionalFormatting sqref="F167 J167 H167">
    <cfRule type="cellIs" dxfId="391" priority="1598" operator="lessThan">
      <formula>0</formula>
    </cfRule>
  </conditionalFormatting>
  <conditionalFormatting sqref="I157">
    <cfRule type="cellIs" dxfId="390" priority="1600" operator="lessThan">
      <formula>0</formula>
    </cfRule>
  </conditionalFormatting>
  <conditionalFormatting sqref="E24 C156:E156 C166:E166">
    <cfRule type="cellIs" dxfId="389" priority="1726" operator="lessThan">
      <formula>0</formula>
    </cfRule>
  </conditionalFormatting>
  <conditionalFormatting sqref="C241:E241 C243:E243">
    <cfRule type="cellIs" dxfId="388" priority="1725" operator="lessThan">
      <formula>0</formula>
    </cfRule>
  </conditionalFormatting>
  <conditionalFormatting sqref="C14:E15 C39:D39 E51 C70:E70 D106 C110:D110 C115:D115 C125:D126 C132:D132 C71:D71 E20 C29:E29 C109:E109 C102:E103 C117:E118">
    <cfRule type="cellIs" dxfId="387" priority="1724" operator="lessThan">
      <formula>0</formula>
    </cfRule>
  </conditionalFormatting>
  <conditionalFormatting sqref="E22:E23">
    <cfRule type="cellIs" dxfId="386" priority="1723" operator="lessThan">
      <formula>0</formula>
    </cfRule>
  </conditionalFormatting>
  <conditionalFormatting sqref="I14:I15">
    <cfRule type="cellIs" dxfId="385" priority="1706" operator="lessThan">
      <formula>0</formula>
    </cfRule>
  </conditionalFormatting>
  <conditionalFormatting sqref="C233:F233 H233:I233">
    <cfRule type="cellIs" dxfId="384" priority="1714" operator="lessThan">
      <formula>0</formula>
    </cfRule>
  </conditionalFormatting>
  <conditionalFormatting sqref="C240:E240">
    <cfRule type="cellIs" dxfId="383" priority="1713" operator="lessThan">
      <formula>0</formula>
    </cfRule>
  </conditionalFormatting>
  <conditionalFormatting sqref="C184:E184">
    <cfRule type="cellIs" dxfId="382" priority="1710" operator="lessThan">
      <formula>0</formula>
    </cfRule>
  </conditionalFormatting>
  <conditionalFormatting sqref="H157">
    <cfRule type="cellIs" dxfId="381" priority="1605" operator="lessThan">
      <formula>0</formula>
    </cfRule>
  </conditionalFormatting>
  <conditionalFormatting sqref="E24">
    <cfRule type="cellIs" dxfId="380" priority="1709" operator="lessThan">
      <formula>0</formula>
    </cfRule>
  </conditionalFormatting>
  <conditionalFormatting sqref="H185">
    <cfRule type="cellIs" dxfId="379" priority="1587" operator="lessThan">
      <formula>0</formula>
    </cfRule>
  </conditionalFormatting>
  <conditionalFormatting sqref="C167:E167">
    <cfRule type="cellIs" dxfId="378" priority="1597" operator="lessThan">
      <formula>0</formula>
    </cfRule>
  </conditionalFormatting>
  <conditionalFormatting sqref="C228:E228">
    <cfRule type="cellIs" dxfId="377" priority="1563" operator="lessThan">
      <formula>0</formula>
    </cfRule>
  </conditionalFormatting>
  <conditionalFormatting sqref="C217:E217">
    <cfRule type="cellIs" dxfId="376" priority="1579" operator="lessThan">
      <formula>0</formula>
    </cfRule>
  </conditionalFormatting>
  <conditionalFormatting sqref="I24">
    <cfRule type="cellIs" dxfId="375" priority="1704" operator="lessThan">
      <formula>0</formula>
    </cfRule>
  </conditionalFormatting>
  <conditionalFormatting sqref="C234:E234">
    <cfRule type="cellIs" dxfId="374" priority="1557" operator="lessThan">
      <formula>0</formula>
    </cfRule>
  </conditionalFormatting>
  <conditionalFormatting sqref="I167">
    <cfRule type="cellIs" dxfId="373" priority="1594" operator="lessThan">
      <formula>0</formula>
    </cfRule>
  </conditionalFormatting>
  <conditionalFormatting sqref="H39">
    <cfRule type="cellIs" dxfId="372" priority="1699" operator="lessThan">
      <formula>0</formula>
    </cfRule>
  </conditionalFormatting>
  <conditionalFormatting sqref="C167:E167">
    <cfRule type="cellIs" dxfId="371" priority="1596" operator="lessThan">
      <formula>0</formula>
    </cfRule>
  </conditionalFormatting>
  <conditionalFormatting sqref="J154">
    <cfRule type="cellIs" dxfId="370" priority="1610" operator="lessThan">
      <formula>0</formula>
    </cfRule>
  </conditionalFormatting>
  <conditionalFormatting sqref="F157 J157 H157">
    <cfRule type="cellIs" dxfId="369" priority="1604" operator="lessThan">
      <formula>0</formula>
    </cfRule>
  </conditionalFormatting>
  <conditionalFormatting sqref="C157:E157">
    <cfRule type="cellIs" dxfId="368" priority="1603" operator="lessThan">
      <formula>0</formula>
    </cfRule>
  </conditionalFormatting>
  <conditionalFormatting sqref="C157:E157">
    <cfRule type="cellIs" dxfId="367" priority="1602" operator="lessThan">
      <formula>0</formula>
    </cfRule>
  </conditionalFormatting>
  <conditionalFormatting sqref="I157">
    <cfRule type="cellIs" dxfId="366" priority="1601" operator="lessThan">
      <formula>0</formula>
    </cfRule>
  </conditionalFormatting>
  <conditionalFormatting sqref="H167">
    <cfRule type="cellIs" dxfId="365" priority="1599" operator="lessThan">
      <formula>0</formula>
    </cfRule>
  </conditionalFormatting>
  <conditionalFormatting sqref="H181">
    <cfRule type="cellIs" dxfId="364" priority="1593" operator="lessThan">
      <formula>0</formula>
    </cfRule>
  </conditionalFormatting>
  <conditionalFormatting sqref="I185">
    <cfRule type="cellIs" dxfId="363" priority="1582" operator="lessThan">
      <formula>0</formula>
    </cfRule>
  </conditionalFormatting>
  <conditionalFormatting sqref="F181 J181 H181">
    <cfRule type="cellIs" dxfId="362" priority="1592" operator="lessThan">
      <formula>0</formula>
    </cfRule>
  </conditionalFormatting>
  <conditionalFormatting sqref="C181:E181">
    <cfRule type="cellIs" dxfId="361" priority="1591" operator="lessThan">
      <formula>0</formula>
    </cfRule>
  </conditionalFormatting>
  <conditionalFormatting sqref="C181:E181">
    <cfRule type="cellIs" dxfId="360" priority="1590" operator="lessThan">
      <formula>0</formula>
    </cfRule>
  </conditionalFormatting>
  <conditionalFormatting sqref="C217:E217">
    <cfRule type="cellIs" dxfId="359" priority="1578" operator="lessThan">
      <formula>0</formula>
    </cfRule>
  </conditionalFormatting>
  <conditionalFormatting sqref="F185 J185 H185">
    <cfRule type="cellIs" dxfId="358" priority="1586" operator="lessThan">
      <formula>0</formula>
    </cfRule>
  </conditionalFormatting>
  <conditionalFormatting sqref="I185">
    <cfRule type="cellIs" dxfId="357" priority="1583" operator="lessThan">
      <formula>0</formula>
    </cfRule>
  </conditionalFormatting>
  <conditionalFormatting sqref="F217 J217 H217">
    <cfRule type="cellIs" dxfId="356" priority="1580" operator="lessThan">
      <formula>0</formula>
    </cfRule>
  </conditionalFormatting>
  <conditionalFormatting sqref="I217">
    <cfRule type="cellIs" dxfId="355" priority="1577" operator="lessThan">
      <formula>0</formula>
    </cfRule>
  </conditionalFormatting>
  <conditionalFormatting sqref="I217">
    <cfRule type="cellIs" dxfId="354" priority="1576" operator="lessThan">
      <formula>0</formula>
    </cfRule>
  </conditionalFormatting>
  <conditionalFormatting sqref="H220">
    <cfRule type="cellIs" dxfId="353" priority="1575" operator="lessThan">
      <formula>0</formula>
    </cfRule>
  </conditionalFormatting>
  <conditionalFormatting sqref="H228">
    <cfRule type="cellIs" dxfId="352" priority="1565" operator="lessThan">
      <formula>0</formula>
    </cfRule>
  </conditionalFormatting>
  <conditionalFormatting sqref="C220:E220">
    <cfRule type="cellIs" dxfId="351" priority="1573" operator="lessThan">
      <formula>0</formula>
    </cfRule>
  </conditionalFormatting>
  <conditionalFormatting sqref="C220:E220">
    <cfRule type="cellIs" dxfId="350" priority="1572" operator="lessThan">
      <formula>0</formula>
    </cfRule>
  </conditionalFormatting>
  <conditionalFormatting sqref="I220">
    <cfRule type="cellIs" dxfId="349" priority="1571" operator="lessThan">
      <formula>0</formula>
    </cfRule>
  </conditionalFormatting>
  <conditionalFormatting sqref="I220">
    <cfRule type="cellIs" dxfId="348" priority="1570" operator="lessThan">
      <formula>0</formula>
    </cfRule>
  </conditionalFormatting>
  <conditionalFormatting sqref="F228 J228 H228">
    <cfRule type="cellIs" dxfId="347" priority="1564" operator="lessThan">
      <formula>0</formula>
    </cfRule>
  </conditionalFormatting>
  <conditionalFormatting sqref="C228:E228">
    <cfRule type="cellIs" dxfId="346" priority="1562" operator="lessThan">
      <formula>0</formula>
    </cfRule>
  </conditionalFormatting>
  <conditionalFormatting sqref="I228">
    <cfRule type="cellIs" dxfId="345" priority="1561" operator="lessThan">
      <formula>0</formula>
    </cfRule>
  </conditionalFormatting>
  <conditionalFormatting sqref="I228">
    <cfRule type="cellIs" dxfId="344" priority="1560" operator="lessThan">
      <formula>0</formula>
    </cfRule>
  </conditionalFormatting>
  <conditionalFormatting sqref="H234">
    <cfRule type="cellIs" dxfId="343" priority="1559" operator="lessThan">
      <formula>0</formula>
    </cfRule>
  </conditionalFormatting>
  <conditionalFormatting sqref="I234">
    <cfRule type="cellIs" dxfId="342" priority="1555" operator="lessThan">
      <formula>0</formula>
    </cfRule>
  </conditionalFormatting>
  <conditionalFormatting sqref="F234 J234 H234">
    <cfRule type="cellIs" dxfId="341" priority="1558" operator="lessThan">
      <formula>0</formula>
    </cfRule>
  </conditionalFormatting>
  <conditionalFormatting sqref="C234:E234">
    <cfRule type="cellIs" dxfId="340" priority="1556" operator="lessThan">
      <formula>0</formula>
    </cfRule>
  </conditionalFormatting>
  <conditionalFormatting sqref="I234">
    <cfRule type="cellIs" dxfId="339" priority="1554" operator="lessThan">
      <formula>0</formula>
    </cfRule>
  </conditionalFormatting>
  <conditionalFormatting sqref="H236:I236">
    <cfRule type="cellIs" dxfId="338" priority="1288" operator="lessThan">
      <formula>0</formula>
    </cfRule>
  </conditionalFormatting>
  <conditionalFormatting sqref="E21">
    <cfRule type="cellIs" dxfId="337" priority="1354" operator="lessThan">
      <formula>0</formula>
    </cfRule>
  </conditionalFormatting>
  <conditionalFormatting sqref="C182:E183">
    <cfRule type="cellIs" dxfId="336" priority="1342" operator="lessThan">
      <formula>0</formula>
    </cfRule>
  </conditionalFormatting>
  <conditionalFormatting sqref="C221:E224 C226:E226">
    <cfRule type="cellIs" dxfId="335" priority="1340" operator="lessThan">
      <formula>0</formula>
    </cfRule>
  </conditionalFormatting>
  <conditionalFormatting sqref="I244:I252">
    <cfRule type="cellIs" dxfId="334" priority="1256" operator="lessThan">
      <formula>0</formula>
    </cfRule>
  </conditionalFormatting>
  <conditionalFormatting sqref="E60">
    <cfRule type="cellIs" dxfId="333" priority="1350" operator="lessThan">
      <formula>0</formula>
    </cfRule>
  </conditionalFormatting>
  <conditionalFormatting sqref="E106">
    <cfRule type="cellIs" dxfId="332" priority="1349" operator="lessThan">
      <formula>0</formula>
    </cfRule>
  </conditionalFormatting>
  <conditionalFormatting sqref="E125">
    <cfRule type="cellIs" dxfId="331" priority="1347" operator="lessThan">
      <formula>0</formula>
    </cfRule>
  </conditionalFormatting>
  <conditionalFormatting sqref="C155:E155">
    <cfRule type="cellIs" dxfId="330" priority="1343" operator="lessThan">
      <formula>0</formula>
    </cfRule>
  </conditionalFormatting>
  <conditionalFormatting sqref="C229:E232">
    <cfRule type="cellIs" dxfId="329" priority="1339" operator="lessThan">
      <formula>0</formula>
    </cfRule>
  </conditionalFormatting>
  <conditionalFormatting sqref="C186:E199 C201:E201">
    <cfRule type="cellIs" dxfId="328" priority="1341" operator="lessThan">
      <formula>0</formula>
    </cfRule>
  </conditionalFormatting>
  <conditionalFormatting sqref="C235:E235">
    <cfRule type="cellIs" dxfId="327" priority="1338" operator="lessThan">
      <formula>0</formula>
    </cfRule>
  </conditionalFormatting>
  <conditionalFormatting sqref="I125:I126">
    <cfRule type="cellIs" dxfId="326" priority="1330" operator="lessThan">
      <formula>0</formula>
    </cfRule>
  </conditionalFormatting>
  <conditionalFormatting sqref="I155">
    <cfRule type="cellIs" dxfId="325" priority="1326" operator="lessThan">
      <formula>0</formula>
    </cfRule>
  </conditionalFormatting>
  <conditionalFormatting sqref="I182:I183">
    <cfRule type="cellIs" dxfId="324" priority="1325" operator="lessThan">
      <formula>0</formula>
    </cfRule>
  </conditionalFormatting>
  <conditionalFormatting sqref="I186:I199 I201">
    <cfRule type="cellIs" dxfId="323" priority="1324" operator="lessThan">
      <formula>0</formula>
    </cfRule>
  </conditionalFormatting>
  <conditionalFormatting sqref="I221:I224 I226">
    <cfRule type="cellIs" dxfId="322" priority="1323" operator="lessThan">
      <formula>0</formula>
    </cfRule>
  </conditionalFormatting>
  <conditionalFormatting sqref="I229:I232">
    <cfRule type="cellIs" dxfId="321" priority="1322" operator="lessThan">
      <formula>0</formula>
    </cfRule>
  </conditionalFormatting>
  <conditionalFormatting sqref="I235">
    <cfRule type="cellIs" dxfId="320" priority="1321" operator="lessThan">
      <formula>0</formula>
    </cfRule>
  </conditionalFormatting>
  <conditionalFormatting sqref="C237">
    <cfRule type="cellIs" dxfId="319" priority="1320" operator="lessThan">
      <formula>0</formula>
    </cfRule>
  </conditionalFormatting>
  <conditionalFormatting sqref="C238:C239">
    <cfRule type="cellIs" dxfId="318" priority="1319" operator="lessThan">
      <formula>0</formula>
    </cfRule>
  </conditionalFormatting>
  <conditionalFormatting sqref="C236">
    <cfRule type="cellIs" dxfId="317" priority="1318" operator="lessThan">
      <formula>0</formula>
    </cfRule>
  </conditionalFormatting>
  <conditionalFormatting sqref="H156:I156">
    <cfRule type="cellIs" dxfId="316" priority="1299" operator="lessThan">
      <formula>0</formula>
    </cfRule>
  </conditionalFormatting>
  <conditionalFormatting sqref="H152:H153">
    <cfRule type="cellIs" dxfId="315" priority="1300" operator="lessThan">
      <formula>0</formula>
    </cfRule>
  </conditionalFormatting>
  <conditionalFormatting sqref="H180:I180">
    <cfRule type="cellIs" dxfId="314" priority="1298" operator="lessThan">
      <formula>0</formula>
    </cfRule>
  </conditionalFormatting>
  <conditionalFormatting sqref="H184:I184">
    <cfRule type="cellIs" dxfId="313" priority="1297" operator="lessThan">
      <formula>0</formula>
    </cfRule>
  </conditionalFormatting>
  <conditionalFormatting sqref="H216:I216">
    <cfRule type="cellIs" dxfId="312" priority="1296" operator="lessThan">
      <formula>0</formula>
    </cfRule>
  </conditionalFormatting>
  <conditionalFormatting sqref="H219:I219">
    <cfRule type="cellIs" dxfId="311" priority="1295" operator="lessThan">
      <formula>0</formula>
    </cfRule>
  </conditionalFormatting>
  <conditionalFormatting sqref="H227:I227">
    <cfRule type="cellIs" dxfId="310" priority="1294" operator="lessThan">
      <formula>0</formula>
    </cfRule>
  </conditionalFormatting>
  <conditionalFormatting sqref="H237:I237">
    <cfRule type="cellIs" dxfId="309" priority="1290" operator="lessThan">
      <formula>0</formula>
    </cfRule>
  </conditionalFormatting>
  <conditionalFormatting sqref="D237:E237">
    <cfRule type="cellIs" dxfId="308" priority="1293" operator="lessThan">
      <formula>0</formula>
    </cfRule>
  </conditionalFormatting>
  <conditionalFormatting sqref="D238:E239">
    <cfRule type="cellIs" dxfId="307" priority="1292" operator="lessThan">
      <formula>0</formula>
    </cfRule>
  </conditionalFormatting>
  <conditionalFormatting sqref="D236:E236">
    <cfRule type="cellIs" dxfId="306" priority="1291" operator="lessThan">
      <formula>0</formula>
    </cfRule>
  </conditionalFormatting>
  <conditionalFormatting sqref="H238:I239">
    <cfRule type="cellIs" dxfId="305" priority="1289" operator="lessThan">
      <formula>0</formula>
    </cfRule>
  </conditionalFormatting>
  <conditionalFormatting sqref="H242">
    <cfRule type="cellIs" dxfId="304" priority="1282" operator="lessThan">
      <formula>0</formula>
    </cfRule>
  </conditionalFormatting>
  <conditionalFormatting sqref="I242:K242">
    <cfRule type="cellIs" dxfId="303" priority="1280" operator="lessThan">
      <formula>0</formula>
    </cfRule>
  </conditionalFormatting>
  <conditionalFormatting sqref="C242:E242">
    <cfRule type="cellIs" dxfId="302" priority="1281" operator="lessThan">
      <formula>0</formula>
    </cfRule>
  </conditionalFormatting>
  <conditionalFormatting sqref="B245">
    <cfRule type="cellIs" dxfId="301" priority="1279" operator="lessThan">
      <formula>0</formula>
    </cfRule>
  </conditionalFormatting>
  <conditionalFormatting sqref="C253:E253">
    <cfRule type="cellIs" dxfId="300" priority="1278" operator="lessThan">
      <formula>0</formula>
    </cfRule>
  </conditionalFormatting>
  <conditionalFormatting sqref="H244:H252">
    <cfRule type="cellIs" dxfId="299" priority="1277" operator="lessThan">
      <formula>0</formula>
    </cfRule>
  </conditionalFormatting>
  <conditionalFormatting sqref="E244:E252">
    <cfRule type="cellIs" dxfId="298" priority="1230" operator="lessThan">
      <formula>0</formula>
    </cfRule>
  </conditionalFormatting>
  <conditionalFormatting sqref="C244:C250">
    <cfRule type="cellIs" dxfId="297" priority="1228" operator="lessThan">
      <formula>0</formula>
    </cfRule>
  </conditionalFormatting>
  <conditionalFormatting sqref="E110">
    <cfRule type="cellIs" dxfId="296" priority="1233" operator="lessThan">
      <formula>0</formula>
    </cfRule>
  </conditionalFormatting>
  <conditionalFormatting sqref="I240">
    <cfRule type="cellIs" dxfId="295" priority="1226" operator="lessThan">
      <formula>0</formula>
    </cfRule>
  </conditionalFormatting>
  <conditionalFormatting sqref="D244:D252">
    <cfRule type="cellIs" dxfId="294" priority="1229" operator="lessThan">
      <formula>0</formula>
    </cfRule>
  </conditionalFormatting>
  <conditionalFormatting sqref="C251:C252">
    <cfRule type="cellIs" dxfId="293" priority="1227" operator="lessThan">
      <formula>0</formula>
    </cfRule>
  </conditionalFormatting>
  <conditionalFormatting sqref="G24">
    <cfRule type="cellIs" dxfId="292" priority="1000" operator="lessThan">
      <formula>0</formula>
    </cfRule>
  </conditionalFormatting>
  <conditionalFormatting sqref="G238:G239">
    <cfRule type="cellIs" dxfId="291" priority="895" operator="lessThan">
      <formula>0</formula>
    </cfRule>
  </conditionalFormatting>
  <conditionalFormatting sqref="G125:G126">
    <cfRule type="cellIs" dxfId="290" priority="967" operator="lessThan">
      <formula>0</formula>
    </cfRule>
  </conditionalFormatting>
  <conditionalFormatting sqref="G39">
    <cfRule type="cellIs" dxfId="289" priority="987" operator="lessThan">
      <formula>0</formula>
    </cfRule>
  </conditionalFormatting>
  <conditionalFormatting sqref="G71">
    <cfRule type="cellIs" dxfId="288" priority="982" operator="lessThan">
      <formula>0</formula>
    </cfRule>
  </conditionalFormatting>
  <conditionalFormatting sqref="G161">
    <cfRule type="cellIs" dxfId="287" priority="938" operator="lessThan">
      <formula>0</formula>
    </cfRule>
  </conditionalFormatting>
  <conditionalFormatting sqref="G181">
    <cfRule type="cellIs" dxfId="286" priority="932" operator="lessThan">
      <formula>0</formula>
    </cfRule>
  </conditionalFormatting>
  <conditionalFormatting sqref="G145">
    <cfRule type="cellIs" dxfId="285" priority="947" operator="lessThan">
      <formula>0</formula>
    </cfRule>
  </conditionalFormatting>
  <conditionalFormatting sqref="G143">
    <cfRule type="cellIs" dxfId="284" priority="946" operator="lessThan">
      <formula>0</formula>
    </cfRule>
  </conditionalFormatting>
  <conditionalFormatting sqref="G167">
    <cfRule type="cellIs" dxfId="283" priority="934" operator="lessThan">
      <formula>0</formula>
    </cfRule>
  </conditionalFormatting>
  <conditionalFormatting sqref="G155">
    <cfRule type="cellIs" dxfId="282" priority="944" operator="lessThan">
      <formula>0</formula>
    </cfRule>
  </conditionalFormatting>
  <conditionalFormatting sqref="G156">
    <cfRule type="cellIs" dxfId="281" priority="943" operator="lessThan">
      <formula>0</formula>
    </cfRule>
  </conditionalFormatting>
  <conditionalFormatting sqref="G159">
    <cfRule type="cellIs" dxfId="280" priority="942" operator="lessThan">
      <formula>0</formula>
    </cfRule>
  </conditionalFormatting>
  <conditionalFormatting sqref="G157">
    <cfRule type="cellIs" dxfId="279" priority="941" operator="lessThan">
      <formula>0</formula>
    </cfRule>
  </conditionalFormatting>
  <conditionalFormatting sqref="G158">
    <cfRule type="cellIs" dxfId="278" priority="940" operator="lessThan">
      <formula>0</formula>
    </cfRule>
  </conditionalFormatting>
  <conditionalFormatting sqref="G163">
    <cfRule type="cellIs" dxfId="277" priority="936" operator="lessThan">
      <formula>0</formula>
    </cfRule>
  </conditionalFormatting>
  <conditionalFormatting sqref="G160">
    <cfRule type="cellIs" dxfId="276" priority="939" operator="lessThan">
      <formula>0</formula>
    </cfRule>
  </conditionalFormatting>
  <conditionalFormatting sqref="G162">
    <cfRule type="cellIs" dxfId="275" priority="937" operator="lessThan">
      <formula>0</formula>
    </cfRule>
  </conditionalFormatting>
  <conditionalFormatting sqref="G166">
    <cfRule type="cellIs" dxfId="274" priority="935" operator="lessThan">
      <formula>0</formula>
    </cfRule>
  </conditionalFormatting>
  <conditionalFormatting sqref="G168">
    <cfRule type="cellIs" dxfId="273" priority="933" operator="lessThan">
      <formula>0</formula>
    </cfRule>
  </conditionalFormatting>
  <conditionalFormatting sqref="G182">
    <cfRule type="cellIs" dxfId="272" priority="931" operator="lessThan">
      <formula>0</formula>
    </cfRule>
  </conditionalFormatting>
  <conditionalFormatting sqref="G180">
    <cfRule type="cellIs" dxfId="271" priority="930" operator="lessThan">
      <formula>0</formula>
    </cfRule>
  </conditionalFormatting>
  <conditionalFormatting sqref="G185">
    <cfRule type="cellIs" dxfId="270" priority="929" operator="lessThan">
      <formula>0</formula>
    </cfRule>
  </conditionalFormatting>
  <conditionalFormatting sqref="G184">
    <cfRule type="cellIs" dxfId="269" priority="928" operator="lessThan">
      <formula>0</formula>
    </cfRule>
  </conditionalFormatting>
  <conditionalFormatting sqref="G183">
    <cfRule type="cellIs" dxfId="268" priority="927" operator="lessThan">
      <formula>0</formula>
    </cfRule>
  </conditionalFormatting>
  <conditionalFormatting sqref="G194:G196">
    <cfRule type="cellIs" dxfId="267" priority="926" operator="lessThan">
      <formula>0</formula>
    </cfRule>
  </conditionalFormatting>
  <conditionalFormatting sqref="G187">
    <cfRule type="cellIs" dxfId="266" priority="923" operator="lessThan">
      <formula>0</formula>
    </cfRule>
  </conditionalFormatting>
  <conditionalFormatting sqref="G188:G189">
    <cfRule type="cellIs" dxfId="265" priority="925" operator="lessThan">
      <formula>0</formula>
    </cfRule>
  </conditionalFormatting>
  <conditionalFormatting sqref="G190:G193">
    <cfRule type="cellIs" dxfId="264" priority="924" operator="lessThan">
      <formula>0</formula>
    </cfRule>
  </conditionalFormatting>
  <conditionalFormatting sqref="G197">
    <cfRule type="cellIs" dxfId="263" priority="922" operator="lessThan">
      <formula>0</formula>
    </cfRule>
  </conditionalFormatting>
  <conditionalFormatting sqref="G199 G201">
    <cfRule type="cellIs" dxfId="262" priority="921" operator="lessThan">
      <formula>0</formula>
    </cfRule>
  </conditionalFormatting>
  <conditionalFormatting sqref="G203">
    <cfRule type="cellIs" dxfId="261" priority="920" operator="lessThan">
      <formula>0</formula>
    </cfRule>
  </conditionalFormatting>
  <conditionalFormatting sqref="G204">
    <cfRule type="cellIs" dxfId="260" priority="919" operator="lessThan">
      <formula>0</formula>
    </cfRule>
  </conditionalFormatting>
  <conditionalFormatting sqref="G216">
    <cfRule type="cellIs" dxfId="259" priority="918" operator="lessThan">
      <formula>0</formula>
    </cfRule>
  </conditionalFormatting>
  <conditionalFormatting sqref="G207">
    <cfRule type="cellIs" dxfId="258" priority="917" operator="lessThan">
      <formula>0</formula>
    </cfRule>
  </conditionalFormatting>
  <conditionalFormatting sqref="G186">
    <cfRule type="cellIs" dxfId="257" priority="916" operator="lessThan">
      <formula>0</formula>
    </cfRule>
  </conditionalFormatting>
  <conditionalFormatting sqref="G198">
    <cfRule type="cellIs" dxfId="256" priority="915" operator="lessThan">
      <formula>0</formula>
    </cfRule>
  </conditionalFormatting>
  <conditionalFormatting sqref="G206">
    <cfRule type="cellIs" dxfId="255" priority="914" operator="lessThan">
      <formula>0</formula>
    </cfRule>
  </conditionalFormatting>
  <conditionalFormatting sqref="G218">
    <cfRule type="cellIs" dxfId="254" priority="911" operator="lessThan">
      <formula>0</formula>
    </cfRule>
  </conditionalFormatting>
  <conditionalFormatting sqref="G220">
    <cfRule type="cellIs" dxfId="253" priority="910" operator="lessThan">
      <formula>0</formula>
    </cfRule>
  </conditionalFormatting>
  <conditionalFormatting sqref="G217">
    <cfRule type="cellIs" dxfId="252" priority="913" operator="lessThan">
      <formula>0</formula>
    </cfRule>
  </conditionalFormatting>
  <conditionalFormatting sqref="G219">
    <cfRule type="cellIs" dxfId="251" priority="912" operator="lessThan">
      <formula>0</formula>
    </cfRule>
  </conditionalFormatting>
  <conditionalFormatting sqref="G221">
    <cfRule type="cellIs" dxfId="250" priority="909" operator="lessThan">
      <formula>0</formula>
    </cfRule>
  </conditionalFormatting>
  <conditionalFormatting sqref="G222:G224">
    <cfRule type="cellIs" dxfId="249" priority="908" operator="lessThan">
      <formula>0</formula>
    </cfRule>
  </conditionalFormatting>
  <conditionalFormatting sqref="G227">
    <cfRule type="cellIs" dxfId="248" priority="907" operator="lessThan">
      <formula>0</formula>
    </cfRule>
  </conditionalFormatting>
  <conditionalFormatting sqref="G226">
    <cfRule type="cellIs" dxfId="247" priority="906" operator="lessThan">
      <formula>0</formula>
    </cfRule>
  </conditionalFormatting>
  <conditionalFormatting sqref="G228">
    <cfRule type="cellIs" dxfId="246" priority="905" operator="lessThan">
      <formula>0</formula>
    </cfRule>
  </conditionalFormatting>
  <conditionalFormatting sqref="G229">
    <cfRule type="cellIs" dxfId="245" priority="904" operator="lessThan">
      <formula>0</formula>
    </cfRule>
  </conditionalFormatting>
  <conditionalFormatting sqref="G233">
    <cfRule type="cellIs" dxfId="244" priority="903" operator="lessThan">
      <formula>0</formula>
    </cfRule>
  </conditionalFormatting>
  <conditionalFormatting sqref="G234">
    <cfRule type="cellIs" dxfId="243" priority="902" operator="lessThan">
      <formula>0</formula>
    </cfRule>
  </conditionalFormatting>
  <conditionalFormatting sqref="G230:G232">
    <cfRule type="cellIs" dxfId="242" priority="901" operator="lessThan">
      <formula>0</formula>
    </cfRule>
  </conditionalFormatting>
  <conditionalFormatting sqref="G235">
    <cfRule type="cellIs" dxfId="241" priority="900" operator="lessThan">
      <formula>0</formula>
    </cfRule>
  </conditionalFormatting>
  <conditionalFormatting sqref="G241">
    <cfRule type="cellIs" dxfId="240" priority="898" operator="lessThan">
      <formula>0</formula>
    </cfRule>
  </conditionalFormatting>
  <conditionalFormatting sqref="G237">
    <cfRule type="cellIs" dxfId="239" priority="896" operator="lessThan">
      <formula>0</formula>
    </cfRule>
  </conditionalFormatting>
  <conditionalFormatting sqref="G242">
    <cfRule type="cellIs" dxfId="238" priority="894" operator="lessThan">
      <formula>0</formula>
    </cfRule>
  </conditionalFormatting>
  <conditionalFormatting sqref="G236">
    <cfRule type="cellIs" dxfId="237" priority="899" operator="lessThan">
      <formula>0</formula>
    </cfRule>
  </conditionalFormatting>
  <conditionalFormatting sqref="G240">
    <cfRule type="cellIs" dxfId="236" priority="897" operator="lessThan">
      <formula>0</formula>
    </cfRule>
  </conditionalFormatting>
  <conditionalFormatting sqref="G243">
    <cfRule type="cellIs" dxfId="235" priority="893" operator="lessThan">
      <formula>0</formula>
    </cfRule>
  </conditionalFormatting>
  <conditionalFormatting sqref="G244:G245">
    <cfRule type="cellIs" dxfId="234" priority="892" operator="lessThan">
      <formula>0</formula>
    </cfRule>
  </conditionalFormatting>
  <conditionalFormatting sqref="G246">
    <cfRule type="cellIs" dxfId="233" priority="891" operator="lessThan">
      <formula>0</formula>
    </cfRule>
  </conditionalFormatting>
  <conditionalFormatting sqref="G247">
    <cfRule type="cellIs" dxfId="232" priority="889" operator="lessThan">
      <formula>0</formula>
    </cfRule>
  </conditionalFormatting>
  <conditionalFormatting sqref="G248:G249">
    <cfRule type="cellIs" dxfId="231" priority="890" operator="lessThan">
      <formula>0</formula>
    </cfRule>
  </conditionalFormatting>
  <conditionalFormatting sqref="G250:G252">
    <cfRule type="cellIs" dxfId="230" priority="888" operator="lessThan">
      <formula>0</formula>
    </cfRule>
  </conditionalFormatting>
  <conditionalFormatting sqref="G253">
    <cfRule type="cellIs" dxfId="229" priority="887" operator="lessThan">
      <formula>0</formula>
    </cfRule>
  </conditionalFormatting>
  <conditionalFormatting sqref="G165">
    <cfRule type="cellIs" dxfId="228" priority="876" operator="lessThan">
      <formula>0</formula>
    </cfRule>
  </conditionalFormatting>
  <conditionalFormatting sqref="G144">
    <cfRule type="cellIs" dxfId="227" priority="875" operator="lessThan">
      <formula>0</formula>
    </cfRule>
  </conditionalFormatting>
  <conditionalFormatting sqref="G205">
    <cfRule type="cellIs" dxfId="226" priority="873" operator="lessThan">
      <formula>0</formula>
    </cfRule>
  </conditionalFormatting>
  <conditionalFormatting sqref="G202">
    <cfRule type="cellIs" dxfId="225" priority="871" operator="lessThan">
      <formula>0</formula>
    </cfRule>
  </conditionalFormatting>
  <conditionalFormatting sqref="G164">
    <cfRule type="cellIs" dxfId="224" priority="869" operator="lessThan">
      <formula>0</formula>
    </cfRule>
  </conditionalFormatting>
  <conditionalFormatting sqref="E132">
    <cfRule type="cellIs" dxfId="223" priority="857" operator="lessThan">
      <formula>0</formula>
    </cfRule>
  </conditionalFormatting>
  <conditionalFormatting sqref="G132">
    <cfRule type="cellIs" dxfId="222" priority="851" operator="lessThan">
      <formula>0</formula>
    </cfRule>
  </conditionalFormatting>
  <conditionalFormatting sqref="H132">
    <cfRule type="cellIs" dxfId="221" priority="855" operator="lessThan">
      <formula>0</formula>
    </cfRule>
  </conditionalFormatting>
  <conditionalFormatting sqref="I132">
    <cfRule type="cellIs" dxfId="220" priority="854" operator="lessThan">
      <formula>0</formula>
    </cfRule>
  </conditionalFormatting>
  <conditionalFormatting sqref="H147:H151">
    <cfRule type="cellIs" dxfId="219" priority="810" operator="lessThan">
      <formula>0</formula>
    </cfRule>
  </conditionalFormatting>
  <conditionalFormatting sqref="C170:E179">
    <cfRule type="cellIs" dxfId="218" priority="798" operator="lessThan">
      <formula>0</formula>
    </cfRule>
  </conditionalFormatting>
  <conditionalFormatting sqref="H200">
    <cfRule type="cellIs" dxfId="217" priority="797" operator="lessThan">
      <formula>0</formula>
    </cfRule>
  </conditionalFormatting>
  <conditionalFormatting sqref="C200:E200">
    <cfRule type="cellIs" dxfId="216" priority="791" operator="lessThan">
      <formula>0</formula>
    </cfRule>
  </conditionalFormatting>
  <conditionalFormatting sqref="I200">
    <cfRule type="cellIs" dxfId="215" priority="790" operator="lessThan">
      <formula>0</formula>
    </cfRule>
  </conditionalFormatting>
  <conditionalFormatting sqref="G200">
    <cfRule type="cellIs" dxfId="214" priority="786" operator="lessThan">
      <formula>0</formula>
    </cfRule>
  </conditionalFormatting>
  <conditionalFormatting sqref="C208:E215">
    <cfRule type="cellIs" dxfId="213" priority="785" operator="lessThan">
      <formula>0</formula>
    </cfRule>
  </conditionalFormatting>
  <conditionalFormatting sqref="G208:G215">
    <cfRule type="cellIs" dxfId="212" priority="782" operator="lessThan">
      <formula>0</formula>
    </cfRule>
  </conditionalFormatting>
  <conditionalFormatting sqref="H225">
    <cfRule type="cellIs" dxfId="211" priority="765" operator="lessThan">
      <formula>0</formula>
    </cfRule>
  </conditionalFormatting>
  <conditionalFormatting sqref="H240">
    <cfRule type="cellIs" dxfId="210" priority="753" operator="lessThan">
      <formula>0</formula>
    </cfRule>
  </conditionalFormatting>
  <conditionalFormatting sqref="I225">
    <cfRule type="cellIs" dxfId="209" priority="758" operator="lessThan">
      <formula>0</formula>
    </cfRule>
  </conditionalFormatting>
  <conditionalFormatting sqref="C225:E225">
    <cfRule type="cellIs" dxfId="208" priority="759" operator="lessThan">
      <formula>0</formula>
    </cfRule>
  </conditionalFormatting>
  <conditionalFormatting sqref="G225">
    <cfRule type="cellIs" dxfId="207" priority="754" operator="lessThan">
      <formula>0</formula>
    </cfRule>
  </conditionalFormatting>
  <conditionalFormatting sqref="E16">
    <cfRule type="cellIs" dxfId="206" priority="752" operator="lessThan">
      <formula>0</formula>
    </cfRule>
  </conditionalFormatting>
  <conditionalFormatting sqref="G14">
    <cfRule type="cellIs" dxfId="205" priority="670" operator="lessThan">
      <formula>0</formula>
    </cfRule>
  </conditionalFormatting>
  <conditionalFormatting sqref="I59:I60">
    <cfRule type="cellIs" dxfId="204" priority="649" operator="lessThan">
      <formula>0</formula>
    </cfRule>
  </conditionalFormatting>
  <conditionalFormatting sqref="H21">
    <cfRule type="cellIs" dxfId="203" priority="690" operator="lessThan">
      <formula>0</formula>
    </cfRule>
  </conditionalFormatting>
  <conditionalFormatting sqref="H60">
    <cfRule type="cellIs" dxfId="202" priority="687" operator="lessThan">
      <formula>0</formula>
    </cfRule>
  </conditionalFormatting>
  <conditionalFormatting sqref="H106 H110:H111">
    <cfRule type="cellIs" dxfId="201" priority="685" operator="lessThan">
      <formula>0</formula>
    </cfRule>
  </conditionalFormatting>
  <conditionalFormatting sqref="H22:I23">
    <cfRule type="cellIs" dxfId="200" priority="683" operator="lessThan">
      <formula>0</formula>
    </cfRule>
  </conditionalFormatting>
  <conditionalFormatting sqref="H115:I115">
    <cfRule type="cellIs" dxfId="199" priority="676" operator="lessThan">
      <formula>0</formula>
    </cfRule>
  </conditionalFormatting>
  <conditionalFormatting sqref="G21">
    <cfRule type="cellIs" dxfId="198" priority="669" operator="lessThan">
      <formula>0</formula>
    </cfRule>
  </conditionalFormatting>
  <conditionalFormatting sqref="G60">
    <cfRule type="cellIs" dxfId="197" priority="666" operator="lessThan">
      <formula>0</formula>
    </cfRule>
  </conditionalFormatting>
  <conditionalFormatting sqref="G106 G110">
    <cfRule type="cellIs" dxfId="196" priority="664" operator="lessThan">
      <formula>0</formula>
    </cfRule>
  </conditionalFormatting>
  <conditionalFormatting sqref="I21">
    <cfRule type="cellIs" dxfId="195" priority="652" operator="lessThan">
      <formula>0</formula>
    </cfRule>
  </conditionalFormatting>
  <conditionalFormatting sqref="I106 I110">
    <cfRule type="cellIs" dxfId="194" priority="647" operator="lessThan">
      <formula>0</formula>
    </cfRule>
  </conditionalFormatting>
  <conditionalFormatting sqref="I51">
    <cfRule type="cellIs" dxfId="193" priority="643" operator="lessThan">
      <formula>0</formula>
    </cfRule>
  </conditionalFormatting>
  <conditionalFormatting sqref="H15">
    <cfRule type="cellIs" dxfId="192" priority="641" operator="lessThan">
      <formula>0</formula>
    </cfRule>
  </conditionalFormatting>
  <conditionalFormatting sqref="C50:E50">
    <cfRule type="cellIs" dxfId="191" priority="640" operator="lessThan">
      <formula>0</formula>
    </cfRule>
  </conditionalFormatting>
  <conditionalFormatting sqref="C114:E114">
    <cfRule type="cellIs" dxfId="190" priority="639" operator="lessThan">
      <formula>0</formula>
    </cfRule>
  </conditionalFormatting>
  <conditionalFormatting sqref="C131:F131">
    <cfRule type="cellIs" dxfId="189" priority="638" operator="lessThan">
      <formula>0</formula>
    </cfRule>
  </conditionalFormatting>
  <conditionalFormatting sqref="C134:E134">
    <cfRule type="cellIs" dxfId="188" priority="637" operator="lessThan">
      <formula>0</formula>
    </cfRule>
  </conditionalFormatting>
  <conditionalFormatting sqref="I20">
    <cfRule type="cellIs" dxfId="187" priority="609" operator="lessThan">
      <formula>0</formula>
    </cfRule>
  </conditionalFormatting>
  <conditionalFormatting sqref="H51">
    <cfRule type="cellIs" dxfId="186" priority="605" operator="lessThan">
      <formula>0</formula>
    </cfRule>
  </conditionalFormatting>
  <conditionalFormatting sqref="G51">
    <cfRule type="cellIs" dxfId="185" priority="606" operator="lessThan">
      <formula>0</formula>
    </cfRule>
  </conditionalFormatting>
  <conditionalFormatting sqref="I29">
    <cfRule type="cellIs" dxfId="184" priority="603" operator="lessThan">
      <formula>0</formula>
    </cfRule>
  </conditionalFormatting>
  <conditionalFormatting sqref="F120:F121 J120:J124">
    <cfRule type="cellIs" dxfId="183" priority="598" operator="lessThan">
      <formula>0</formula>
    </cfRule>
  </conditionalFormatting>
  <conditionalFormatting sqref="C120:E121">
    <cfRule type="cellIs" dxfId="182" priority="600" operator="lessThan">
      <formula>0</formula>
    </cfRule>
  </conditionalFormatting>
  <conditionalFormatting sqref="I121">
    <cfRule type="cellIs" dxfId="181" priority="586" operator="lessThan">
      <formula>0</formula>
    </cfRule>
  </conditionalFormatting>
  <conditionalFormatting sqref="G134">
    <cfRule type="cellIs" dxfId="180" priority="583" operator="lessThan">
      <formula>0</formula>
    </cfRule>
  </conditionalFormatting>
  <conditionalFormatting sqref="H134">
    <cfRule type="cellIs" dxfId="179" priority="582" operator="lessThan">
      <formula>0</formula>
    </cfRule>
  </conditionalFormatting>
  <conditionalFormatting sqref="E17:E18">
    <cfRule type="cellIs" dxfId="178" priority="526" operator="lessThan">
      <formula>0</formula>
    </cfRule>
  </conditionalFormatting>
  <conditionalFormatting sqref="I17:I18">
    <cfRule type="cellIs" dxfId="177" priority="525" operator="lessThan">
      <formula>0</formula>
    </cfRule>
  </conditionalFormatting>
  <conditionalFormatting sqref="G17:G18">
    <cfRule type="cellIs" dxfId="176" priority="518" operator="lessThan">
      <formula>0</formula>
    </cfRule>
  </conditionalFormatting>
  <conditionalFormatting sqref="E25:E28">
    <cfRule type="cellIs" dxfId="175" priority="515" operator="lessThan">
      <formula>0</formula>
    </cfRule>
  </conditionalFormatting>
  <conditionalFormatting sqref="I25:I28">
    <cfRule type="cellIs" dxfId="174" priority="514" operator="lessThan">
      <formula>0</formula>
    </cfRule>
  </conditionalFormatting>
  <conditionalFormatting sqref="G25:G28">
    <cfRule type="cellIs" dxfId="173" priority="507" operator="lessThan">
      <formula>0</formula>
    </cfRule>
  </conditionalFormatting>
  <conditionalFormatting sqref="G40:G49">
    <cfRule type="cellIs" dxfId="172" priority="496" operator="lessThan">
      <formula>0</formula>
    </cfRule>
  </conditionalFormatting>
  <conditionalFormatting sqref="G52:G53">
    <cfRule type="cellIs" dxfId="171" priority="484" operator="lessThan">
      <formula>0</formula>
    </cfRule>
  </conditionalFormatting>
  <conditionalFormatting sqref="G55">
    <cfRule type="cellIs" dxfId="170" priority="473" operator="lessThan">
      <formula>0</formula>
    </cfRule>
  </conditionalFormatting>
  <conditionalFormatting sqref="C96:E96 C97:D97">
    <cfRule type="cellIs" dxfId="169" priority="456" operator="lessThan">
      <formula>0</formula>
    </cfRule>
  </conditionalFormatting>
  <conditionalFormatting sqref="J128:J129">
    <cfRule type="cellIs" dxfId="168" priority="432" operator="lessThan">
      <formula>0</formula>
    </cfRule>
  </conditionalFormatting>
  <conditionalFormatting sqref="I142">
    <cfRule type="cellIs" dxfId="167" priority="402" operator="lessThan">
      <formula>0</formula>
    </cfRule>
  </conditionalFormatting>
  <conditionalFormatting sqref="J133">
    <cfRule type="cellIs" dxfId="166" priority="418" operator="lessThan">
      <formula>0</formula>
    </cfRule>
  </conditionalFormatting>
  <conditionalFormatting sqref="C74:E74">
    <cfRule type="cellIs" dxfId="165" priority="375" operator="lessThan">
      <formula>0</formula>
    </cfRule>
  </conditionalFormatting>
  <conditionalFormatting sqref="C146:D153">
    <cfRule type="cellIs" dxfId="164" priority="367" operator="lessThan">
      <formula>0</formula>
    </cfRule>
  </conditionalFormatting>
  <conditionalFormatting sqref="C154:E154">
    <cfRule type="cellIs" dxfId="163" priority="361" operator="lessThan">
      <formula>0</formula>
    </cfRule>
  </conditionalFormatting>
  <conditionalFormatting sqref="F124">
    <cfRule type="cellIs" dxfId="162" priority="348" operator="lessThan">
      <formula>0</formula>
    </cfRule>
  </conditionalFormatting>
  <conditionalFormatting sqref="C124:E124">
    <cfRule type="cellIs" dxfId="161" priority="349" operator="lessThan">
      <formula>0</formula>
    </cfRule>
  </conditionalFormatting>
  <conditionalFormatting sqref="H25:H28">
    <cfRule type="cellIs" dxfId="160" priority="335" operator="lessThan">
      <formula>0</formula>
    </cfRule>
  </conditionalFormatting>
  <conditionalFormatting sqref="H122:H123">
    <cfRule type="cellIs" dxfId="159" priority="325" operator="lessThan">
      <formula>0</formula>
    </cfRule>
  </conditionalFormatting>
  <conditionalFormatting sqref="C122:D123">
    <cfRule type="cellIs" dxfId="158" priority="311" operator="lessThan">
      <formula>0</formula>
    </cfRule>
  </conditionalFormatting>
  <conditionalFormatting sqref="H17:H18">
    <cfRule type="cellIs" dxfId="157" priority="336" operator="lessThan">
      <formula>0</formula>
    </cfRule>
  </conditionalFormatting>
  <conditionalFormatting sqref="H40:H49">
    <cfRule type="cellIs" dxfId="156" priority="334" operator="lessThan">
      <formula>0</formula>
    </cfRule>
  </conditionalFormatting>
  <conditionalFormatting sqref="H52">
    <cfRule type="cellIs" dxfId="155" priority="333" operator="lessThan">
      <formula>0</formula>
    </cfRule>
  </conditionalFormatting>
  <conditionalFormatting sqref="H61:H69">
    <cfRule type="cellIs" dxfId="154" priority="332" operator="lessThan">
      <formula>0</formula>
    </cfRule>
  </conditionalFormatting>
  <conditionalFormatting sqref="H72:H73">
    <cfRule type="cellIs" dxfId="153" priority="331" operator="lessThan">
      <formula>0</formula>
    </cfRule>
  </conditionalFormatting>
  <conditionalFormatting sqref="H99:H101">
    <cfRule type="cellIs" dxfId="152" priority="330" operator="lessThan">
      <formula>0</formula>
    </cfRule>
  </conditionalFormatting>
  <conditionalFormatting sqref="H107:H108">
    <cfRule type="cellIs" dxfId="151" priority="329" operator="lessThan">
      <formula>0</formula>
    </cfRule>
  </conditionalFormatting>
  <conditionalFormatting sqref="H112:H113">
    <cfRule type="cellIs" dxfId="150" priority="328" operator="lessThan">
      <formula>0</formula>
    </cfRule>
  </conditionalFormatting>
  <conditionalFormatting sqref="H116">
    <cfRule type="cellIs" dxfId="149" priority="327" operator="lessThan">
      <formula>0</formula>
    </cfRule>
  </conditionalFormatting>
  <conditionalFormatting sqref="H119">
    <cfRule type="cellIs" dxfId="148" priority="326" operator="lessThan">
      <formula>0</formula>
    </cfRule>
  </conditionalFormatting>
  <conditionalFormatting sqref="H127:H129">
    <cfRule type="cellIs" dxfId="147" priority="324" operator="lessThan">
      <formula>0</formula>
    </cfRule>
  </conditionalFormatting>
  <conditionalFormatting sqref="H133">
    <cfRule type="cellIs" dxfId="146" priority="323" operator="lessThan">
      <formula>0</formula>
    </cfRule>
  </conditionalFormatting>
  <conditionalFormatting sqref="C17:D18">
    <cfRule type="cellIs" dxfId="145" priority="322" operator="lessThan">
      <formula>0</formula>
    </cfRule>
  </conditionalFormatting>
  <conditionalFormatting sqref="C25:D28">
    <cfRule type="cellIs" dxfId="144" priority="321" operator="lessThan">
      <formula>0</formula>
    </cfRule>
  </conditionalFormatting>
  <conditionalFormatting sqref="C40:D49">
    <cfRule type="cellIs" dxfId="143" priority="320" operator="lessThan">
      <formula>0</formula>
    </cfRule>
  </conditionalFormatting>
  <conditionalFormatting sqref="C52:D52">
    <cfRule type="cellIs" dxfId="142" priority="319" operator="lessThan">
      <formula>0</formula>
    </cfRule>
  </conditionalFormatting>
  <conditionalFormatting sqref="C61:D69">
    <cfRule type="cellIs" dxfId="141" priority="318" operator="lessThan">
      <formula>0</formula>
    </cfRule>
  </conditionalFormatting>
  <conditionalFormatting sqref="C72:D73">
    <cfRule type="cellIs" dxfId="140" priority="317" operator="lessThan">
      <formula>0</formula>
    </cfRule>
  </conditionalFormatting>
  <conditionalFormatting sqref="C99:D101">
    <cfRule type="cellIs" dxfId="139" priority="316" operator="lessThan">
      <formula>0</formula>
    </cfRule>
  </conditionalFormatting>
  <conditionalFormatting sqref="C107:D108 C104 C106">
    <cfRule type="cellIs" dxfId="138" priority="315" operator="lessThan">
      <formula>0</formula>
    </cfRule>
  </conditionalFormatting>
  <conditionalFormatting sqref="D111 C112:D113">
    <cfRule type="cellIs" dxfId="137" priority="314" operator="lessThan">
      <formula>0</formula>
    </cfRule>
  </conditionalFormatting>
  <conditionalFormatting sqref="C116:D116">
    <cfRule type="cellIs" dxfId="136" priority="313" operator="lessThan">
      <formula>0</formula>
    </cfRule>
  </conditionalFormatting>
  <conditionalFormatting sqref="C119:D119">
    <cfRule type="cellIs" dxfId="135" priority="312" operator="lessThan">
      <formula>0</formula>
    </cfRule>
  </conditionalFormatting>
  <conditionalFormatting sqref="C127:D129">
    <cfRule type="cellIs" dxfId="134" priority="310" operator="lessThan">
      <formula>0</formula>
    </cfRule>
  </conditionalFormatting>
  <conditionalFormatting sqref="C133:D133">
    <cfRule type="cellIs" dxfId="133" priority="309" operator="lessThan">
      <formula>0</formula>
    </cfRule>
  </conditionalFormatting>
  <conditionalFormatting sqref="C59:D59">
    <cfRule type="cellIs" dxfId="132" priority="306" operator="lessThan">
      <formula>0</formula>
    </cfRule>
  </conditionalFormatting>
  <conditionalFormatting sqref="C58:D58">
    <cfRule type="cellIs" dxfId="131" priority="282" operator="lessThan">
      <formula>0</formula>
    </cfRule>
  </conditionalFormatting>
  <conditionalFormatting sqref="E40:E49">
    <cfRule type="cellIs" dxfId="130" priority="278" operator="lessThan">
      <formula>0</formula>
    </cfRule>
  </conditionalFormatting>
  <conditionalFormatting sqref="E52">
    <cfRule type="cellIs" dxfId="129" priority="277" operator="lessThan">
      <formula>0</formula>
    </cfRule>
  </conditionalFormatting>
  <conditionalFormatting sqref="E61:E69">
    <cfRule type="cellIs" dxfId="128" priority="275" operator="lessThan">
      <formula>0</formula>
    </cfRule>
  </conditionalFormatting>
  <conditionalFormatting sqref="E72:E73">
    <cfRule type="cellIs" dxfId="127" priority="274" operator="lessThan">
      <formula>0</formula>
    </cfRule>
  </conditionalFormatting>
  <conditionalFormatting sqref="E99:E101">
    <cfRule type="cellIs" dxfId="126" priority="273" operator="lessThan">
      <formula>0</formula>
    </cfRule>
  </conditionalFormatting>
  <conditionalFormatting sqref="E107:E108">
    <cfRule type="cellIs" dxfId="125" priority="272" operator="lessThan">
      <formula>0</formula>
    </cfRule>
  </conditionalFormatting>
  <conditionalFormatting sqref="E111:E113">
    <cfRule type="cellIs" dxfId="124" priority="271" operator="lessThan">
      <formula>0</formula>
    </cfRule>
  </conditionalFormatting>
  <conditionalFormatting sqref="E116">
    <cfRule type="cellIs" dxfId="123" priority="270" operator="lessThan">
      <formula>0</formula>
    </cfRule>
  </conditionalFormatting>
  <conditionalFormatting sqref="E119">
    <cfRule type="cellIs" dxfId="122" priority="269" operator="lessThan">
      <formula>0</formula>
    </cfRule>
  </conditionalFormatting>
  <conditionalFormatting sqref="E122:E123">
    <cfRule type="cellIs" dxfId="121" priority="268" operator="lessThan">
      <formula>0</formula>
    </cfRule>
  </conditionalFormatting>
  <conditionalFormatting sqref="E126:E129">
    <cfRule type="cellIs" dxfId="120" priority="267" operator="lessThan">
      <formula>0</formula>
    </cfRule>
  </conditionalFormatting>
  <conditionalFormatting sqref="E133">
    <cfRule type="cellIs" dxfId="119" priority="266" operator="lessThan">
      <formula>0</formula>
    </cfRule>
  </conditionalFormatting>
  <conditionalFormatting sqref="E59">
    <cfRule type="cellIs" dxfId="118" priority="265" operator="lessThan">
      <formula>0</formula>
    </cfRule>
  </conditionalFormatting>
  <conditionalFormatting sqref="E146:E153">
    <cfRule type="cellIs" dxfId="117" priority="264" operator="lessThan">
      <formula>0</formula>
    </cfRule>
  </conditionalFormatting>
  <conditionalFormatting sqref="H86:I87 E86">
    <cfRule type="cellIs" dxfId="116" priority="258" operator="lessThan">
      <formula>0</formula>
    </cfRule>
  </conditionalFormatting>
  <conditionalFormatting sqref="C86:D87">
    <cfRule type="cellIs" dxfId="115" priority="257" operator="lessThan">
      <formula>0</formula>
    </cfRule>
  </conditionalFormatting>
  <conditionalFormatting sqref="G86:G87">
    <cfRule type="cellIs" dxfId="114" priority="254" operator="lessThan">
      <formula>0</formula>
    </cfRule>
  </conditionalFormatting>
  <conditionalFormatting sqref="C92:E92 C95:E95">
    <cfRule type="cellIs" dxfId="113" priority="242" operator="lessThan">
      <formula>0</formula>
    </cfRule>
  </conditionalFormatting>
  <conditionalFormatting sqref="H90:H91">
    <cfRule type="cellIs" dxfId="112" priority="240" operator="lessThan">
      <formula>0</formula>
    </cfRule>
  </conditionalFormatting>
  <conditionalFormatting sqref="C90:D91">
    <cfRule type="cellIs" dxfId="111" priority="239" operator="lessThan">
      <formula>0</formula>
    </cfRule>
  </conditionalFormatting>
  <conditionalFormatting sqref="E90:E91">
    <cfRule type="cellIs" dxfId="110" priority="238" operator="lessThan">
      <formula>0</formula>
    </cfRule>
  </conditionalFormatting>
  <conditionalFormatting sqref="H75:I75 E75">
    <cfRule type="cellIs" dxfId="109" priority="230" operator="lessThan">
      <formula>0</formula>
    </cfRule>
  </conditionalFormatting>
  <conditionalFormatting sqref="C75:D75">
    <cfRule type="cellIs" dxfId="108" priority="229" operator="lessThan">
      <formula>0</formula>
    </cfRule>
  </conditionalFormatting>
  <conditionalFormatting sqref="G75">
    <cfRule type="cellIs" dxfId="107" priority="226" operator="lessThan">
      <formula>0</formula>
    </cfRule>
  </conditionalFormatting>
  <conditionalFormatting sqref="C80:E80 C84:E85">
    <cfRule type="cellIs" dxfId="106" priority="214" operator="lessThan">
      <formula>0</formula>
    </cfRule>
  </conditionalFormatting>
  <conditionalFormatting sqref="H76:H79">
    <cfRule type="cellIs" dxfId="105" priority="212" operator="lessThan">
      <formula>0</formula>
    </cfRule>
  </conditionalFormatting>
  <conditionalFormatting sqref="C76:D79">
    <cfRule type="cellIs" dxfId="104" priority="211" operator="lessThan">
      <formula>0</formula>
    </cfRule>
  </conditionalFormatting>
  <conditionalFormatting sqref="E76:E79">
    <cfRule type="cellIs" dxfId="103" priority="210" operator="lessThan">
      <formula>0</formula>
    </cfRule>
  </conditionalFormatting>
  <conditionalFormatting sqref="H30:I36 E30">
    <cfRule type="cellIs" dxfId="102" priority="205" operator="lessThan">
      <formula>0</formula>
    </cfRule>
  </conditionalFormatting>
  <conditionalFormatting sqref="C30:D36">
    <cfRule type="cellIs" dxfId="101" priority="204" operator="lessThan">
      <formula>0</formula>
    </cfRule>
  </conditionalFormatting>
  <conditionalFormatting sqref="G30:G36">
    <cfRule type="cellIs" dxfId="100" priority="201" operator="lessThan">
      <formula>0</formula>
    </cfRule>
  </conditionalFormatting>
  <conditionalFormatting sqref="C38:E38">
    <cfRule type="cellIs" dxfId="99" priority="189" operator="lessThan">
      <formula>0</formula>
    </cfRule>
  </conditionalFormatting>
  <conditionalFormatting sqref="H37">
    <cfRule type="cellIs" dxfId="98" priority="187" operator="lessThan">
      <formula>0</formula>
    </cfRule>
  </conditionalFormatting>
  <conditionalFormatting sqref="C37:D37">
    <cfRule type="cellIs" dxfId="97" priority="186" operator="lessThan">
      <formula>0</formula>
    </cfRule>
  </conditionalFormatting>
  <conditionalFormatting sqref="E31:E37">
    <cfRule type="cellIs" dxfId="96" priority="185" operator="lessThan">
      <formula>0</formula>
    </cfRule>
  </conditionalFormatting>
  <conditionalFormatting sqref="J130">
    <cfRule type="cellIs" dxfId="95" priority="184" operator="lessThan">
      <formula>0</formula>
    </cfRule>
  </conditionalFormatting>
  <conditionalFormatting sqref="H130">
    <cfRule type="cellIs" dxfId="94" priority="177" operator="lessThan">
      <formula>0</formula>
    </cfRule>
  </conditionalFormatting>
  <conditionalFormatting sqref="C130:D130">
    <cfRule type="cellIs" dxfId="93" priority="176" operator="lessThan">
      <formula>0</formula>
    </cfRule>
  </conditionalFormatting>
  <conditionalFormatting sqref="E130">
    <cfRule type="cellIs" dxfId="92" priority="175" operator="lessThan">
      <formula>0</formula>
    </cfRule>
  </conditionalFormatting>
  <conditionalFormatting sqref="G54">
    <cfRule type="cellIs" dxfId="91" priority="163" operator="lessThan">
      <formula>0</formula>
    </cfRule>
  </conditionalFormatting>
  <conditionalFormatting sqref="H54">
    <cfRule type="cellIs" dxfId="90" priority="162" operator="lessThan">
      <formula>0</formula>
    </cfRule>
  </conditionalFormatting>
  <conditionalFormatting sqref="C54:D54">
    <cfRule type="cellIs" dxfId="89" priority="161" operator="lessThan">
      <formula>0</formula>
    </cfRule>
  </conditionalFormatting>
  <conditionalFormatting sqref="E54">
    <cfRule type="cellIs" dxfId="88" priority="160" operator="lessThan">
      <formula>0</formula>
    </cfRule>
  </conditionalFormatting>
  <conditionalFormatting sqref="G56:G57">
    <cfRule type="cellIs" dxfId="87" priority="151" operator="lessThan">
      <formula>0</formula>
    </cfRule>
  </conditionalFormatting>
  <conditionalFormatting sqref="H56:H57">
    <cfRule type="cellIs" dxfId="86" priority="150" operator="lessThan">
      <formula>0</formula>
    </cfRule>
  </conditionalFormatting>
  <conditionalFormatting sqref="C56:D57">
    <cfRule type="cellIs" dxfId="85" priority="149" operator="lessThan">
      <formula>0</formula>
    </cfRule>
  </conditionalFormatting>
  <conditionalFormatting sqref="E56:E57">
    <cfRule type="cellIs" dxfId="84" priority="148" operator="lessThan">
      <formula>0</formula>
    </cfRule>
  </conditionalFormatting>
  <conditionalFormatting sqref="H88:H89">
    <cfRule type="cellIs" dxfId="83" priority="141" operator="lessThan">
      <formula>0</formula>
    </cfRule>
  </conditionalFormatting>
  <conditionalFormatting sqref="C88:D89">
    <cfRule type="cellIs" dxfId="82" priority="140" operator="lessThan">
      <formula>0</formula>
    </cfRule>
  </conditionalFormatting>
  <conditionalFormatting sqref="E87:E89">
    <cfRule type="cellIs" dxfId="81" priority="139" operator="lessThan">
      <formula>0</formula>
    </cfRule>
  </conditionalFormatting>
  <conditionalFormatting sqref="H98">
    <cfRule type="cellIs" dxfId="80" priority="132" operator="lessThan">
      <formula>0</formula>
    </cfRule>
  </conditionalFormatting>
  <conditionalFormatting sqref="C98:D98">
    <cfRule type="cellIs" dxfId="79" priority="131" operator="lessThan">
      <formula>0</formula>
    </cfRule>
  </conditionalFormatting>
  <conditionalFormatting sqref="E97:E98">
    <cfRule type="cellIs" dxfId="78" priority="130" operator="lessThan">
      <formula>0</formula>
    </cfRule>
  </conditionalFormatting>
  <conditionalFormatting sqref="I38">
    <cfRule type="cellIs" dxfId="77" priority="128" operator="lessThan">
      <formula>0</formula>
    </cfRule>
  </conditionalFormatting>
  <conditionalFormatting sqref="I37">
    <cfRule type="cellIs" dxfId="76" priority="127" operator="lessThan">
      <formula>0</formula>
    </cfRule>
  </conditionalFormatting>
  <conditionalFormatting sqref="I50">
    <cfRule type="cellIs" dxfId="75" priority="126" operator="lessThan">
      <formula>0</formula>
    </cfRule>
  </conditionalFormatting>
  <conditionalFormatting sqref="I40:I49">
    <cfRule type="cellIs" dxfId="74" priority="125" operator="lessThan">
      <formula>0</formula>
    </cfRule>
  </conditionalFormatting>
  <conditionalFormatting sqref="I58">
    <cfRule type="cellIs" dxfId="73" priority="124" operator="lessThan">
      <formula>0</formula>
    </cfRule>
  </conditionalFormatting>
  <conditionalFormatting sqref="I52:I57">
    <cfRule type="cellIs" dxfId="72" priority="123" operator="lessThan">
      <formula>0</formula>
    </cfRule>
  </conditionalFormatting>
  <conditionalFormatting sqref="I70">
    <cfRule type="cellIs" dxfId="71" priority="122" operator="lessThan">
      <formula>0</formula>
    </cfRule>
  </conditionalFormatting>
  <conditionalFormatting sqref="I61:I69">
    <cfRule type="cellIs" dxfId="70" priority="121" operator="lessThan">
      <formula>0</formula>
    </cfRule>
  </conditionalFormatting>
  <conditionalFormatting sqref="I74">
    <cfRule type="cellIs" dxfId="69" priority="120" operator="lessThan">
      <formula>0</formula>
    </cfRule>
  </conditionalFormatting>
  <conditionalFormatting sqref="I72:I73">
    <cfRule type="cellIs" dxfId="68" priority="119" operator="lessThan">
      <formula>0</formula>
    </cfRule>
  </conditionalFormatting>
  <conditionalFormatting sqref="I80 I84:I85">
    <cfRule type="cellIs" dxfId="67" priority="118" operator="lessThan">
      <formula>0</formula>
    </cfRule>
  </conditionalFormatting>
  <conditionalFormatting sqref="I76:I79">
    <cfRule type="cellIs" dxfId="66" priority="117" operator="lessThan">
      <formula>0</formula>
    </cfRule>
  </conditionalFormatting>
  <conditionalFormatting sqref="I92 I95">
    <cfRule type="cellIs" dxfId="65" priority="116" operator="lessThan">
      <formula>0</formula>
    </cfRule>
  </conditionalFormatting>
  <conditionalFormatting sqref="I88:I91">
    <cfRule type="cellIs" dxfId="64" priority="115" operator="lessThan">
      <formula>0</formula>
    </cfRule>
  </conditionalFormatting>
  <conditionalFormatting sqref="I102:I103">
    <cfRule type="cellIs" dxfId="63" priority="114" operator="lessThan">
      <formula>0</formula>
    </cfRule>
  </conditionalFormatting>
  <conditionalFormatting sqref="I98:I101">
    <cfRule type="cellIs" dxfId="62" priority="113" operator="lessThan">
      <formula>0</formula>
    </cfRule>
  </conditionalFormatting>
  <conditionalFormatting sqref="I109">
    <cfRule type="cellIs" dxfId="61" priority="112" operator="lessThan">
      <formula>0</formula>
    </cfRule>
  </conditionalFormatting>
  <conditionalFormatting sqref="I107:I108">
    <cfRule type="cellIs" dxfId="60" priority="111" operator="lessThan">
      <formula>0</formula>
    </cfRule>
  </conditionalFormatting>
  <conditionalFormatting sqref="I114">
    <cfRule type="cellIs" dxfId="59" priority="110" operator="lessThan">
      <formula>0</formula>
    </cfRule>
  </conditionalFormatting>
  <conditionalFormatting sqref="I111:I113">
    <cfRule type="cellIs" dxfId="58" priority="109" operator="lessThan">
      <formula>0</formula>
    </cfRule>
  </conditionalFormatting>
  <conditionalFormatting sqref="I117">
    <cfRule type="cellIs" dxfId="57" priority="108" operator="lessThan">
      <formula>0</formula>
    </cfRule>
  </conditionalFormatting>
  <conditionalFormatting sqref="I116">
    <cfRule type="cellIs" dxfId="56" priority="107" operator="lessThan">
      <formula>0</formula>
    </cfRule>
  </conditionalFormatting>
  <conditionalFormatting sqref="I120">
    <cfRule type="cellIs" dxfId="55" priority="106" operator="lessThan">
      <formula>0</formula>
    </cfRule>
  </conditionalFormatting>
  <conditionalFormatting sqref="I119">
    <cfRule type="cellIs" dxfId="54" priority="105" operator="lessThan">
      <formula>0</formula>
    </cfRule>
  </conditionalFormatting>
  <conditionalFormatting sqref="I124">
    <cfRule type="cellIs" dxfId="53" priority="104" operator="lessThan">
      <formula>0</formula>
    </cfRule>
  </conditionalFormatting>
  <conditionalFormatting sqref="I122:I123">
    <cfRule type="cellIs" dxfId="52" priority="103" operator="lessThan">
      <formula>0</formula>
    </cfRule>
  </conditionalFormatting>
  <conditionalFormatting sqref="I131">
    <cfRule type="cellIs" dxfId="51" priority="102" operator="lessThan">
      <formula>0</formula>
    </cfRule>
  </conditionalFormatting>
  <conditionalFormatting sqref="I127:I130">
    <cfRule type="cellIs" dxfId="50" priority="101" operator="lessThan">
      <formula>0</formula>
    </cfRule>
  </conditionalFormatting>
  <conditionalFormatting sqref="I134">
    <cfRule type="cellIs" dxfId="49" priority="100" operator="lessThan">
      <formula>0</formula>
    </cfRule>
  </conditionalFormatting>
  <conditionalFormatting sqref="I133">
    <cfRule type="cellIs" dxfId="48" priority="99" operator="lessThan">
      <formula>0</formula>
    </cfRule>
  </conditionalFormatting>
  <conditionalFormatting sqref="I154">
    <cfRule type="cellIs" dxfId="47" priority="98" operator="lessThan">
      <formula>0</formula>
    </cfRule>
  </conditionalFormatting>
  <conditionalFormatting sqref="C135:D135">
    <cfRule type="cellIs" dxfId="46" priority="90" operator="lessThan">
      <formula>0</formula>
    </cfRule>
  </conditionalFormatting>
  <conditionalFormatting sqref="E135">
    <cfRule type="cellIs" dxfId="45" priority="88" operator="lessThan">
      <formula>0</formula>
    </cfRule>
  </conditionalFormatting>
  <conditionalFormatting sqref="G135">
    <cfRule type="cellIs" dxfId="44" priority="82" operator="lessThan">
      <formula>0</formula>
    </cfRule>
  </conditionalFormatting>
  <conditionalFormatting sqref="H135">
    <cfRule type="cellIs" dxfId="43" priority="86" operator="lessThan">
      <formula>0</formula>
    </cfRule>
  </conditionalFormatting>
  <conditionalFormatting sqref="I135">
    <cfRule type="cellIs" dxfId="42" priority="85" operator="lessThan">
      <formula>0</formula>
    </cfRule>
  </conditionalFormatting>
  <conditionalFormatting sqref="C140:E140">
    <cfRule type="cellIs" dxfId="41" priority="81" operator="lessThan">
      <formula>0</formula>
    </cfRule>
  </conditionalFormatting>
  <conditionalFormatting sqref="G140">
    <cfRule type="cellIs" dxfId="40" priority="78" operator="lessThan">
      <formula>0</formula>
    </cfRule>
  </conditionalFormatting>
  <conditionalFormatting sqref="H140">
    <cfRule type="cellIs" dxfId="39" priority="77" operator="lessThan">
      <formula>0</formula>
    </cfRule>
  </conditionalFormatting>
  <conditionalFormatting sqref="J136:J139">
    <cfRule type="cellIs" dxfId="38" priority="76" operator="lessThan">
      <formula>0</formula>
    </cfRule>
  </conditionalFormatting>
  <conditionalFormatting sqref="H136:H139">
    <cfRule type="cellIs" dxfId="37" priority="70" operator="lessThan">
      <formula>0</formula>
    </cfRule>
  </conditionalFormatting>
  <conditionalFormatting sqref="C136:D139">
    <cfRule type="cellIs" dxfId="36" priority="69" operator="lessThan">
      <formula>0</formula>
    </cfRule>
  </conditionalFormatting>
  <conditionalFormatting sqref="E136:E139">
    <cfRule type="cellIs" dxfId="35" priority="68" operator="lessThan">
      <formula>0</formula>
    </cfRule>
  </conditionalFormatting>
  <conditionalFormatting sqref="I140">
    <cfRule type="cellIs" dxfId="34" priority="67" operator="lessThan">
      <formula>0</formula>
    </cfRule>
  </conditionalFormatting>
  <conditionalFormatting sqref="I136:I139">
    <cfRule type="cellIs" dxfId="33" priority="66" operator="lessThan">
      <formula>0</formula>
    </cfRule>
  </conditionalFormatting>
  <conditionalFormatting sqref="I146:I153">
    <cfRule type="cellIs" dxfId="32" priority="65" operator="lessThan">
      <formula>0</formula>
    </cfRule>
  </conditionalFormatting>
  <conditionalFormatting sqref="I104">
    <cfRule type="cellIs" dxfId="31" priority="37" operator="lessThan">
      <formula>0</formula>
    </cfRule>
  </conditionalFormatting>
  <conditionalFormatting sqref="C111">
    <cfRule type="cellIs" dxfId="30" priority="26" operator="lessThan">
      <formula>0</formula>
    </cfRule>
  </conditionalFormatting>
  <conditionalFormatting sqref="D104">
    <cfRule type="cellIs" dxfId="29" priority="42" operator="lessThan">
      <formula>0</formula>
    </cfRule>
  </conditionalFormatting>
  <conditionalFormatting sqref="E104">
    <cfRule type="cellIs" dxfId="28" priority="41" operator="lessThan">
      <formula>0</formula>
    </cfRule>
  </conditionalFormatting>
  <conditionalFormatting sqref="G104">
    <cfRule type="cellIs" dxfId="27" priority="39" operator="lessThan">
      <formula>0</formula>
    </cfRule>
  </conditionalFormatting>
  <conditionalFormatting sqref="H104">
    <cfRule type="cellIs" dxfId="26" priority="38" operator="lessThan">
      <formula>0</formula>
    </cfRule>
  </conditionalFormatting>
  <conditionalFormatting sqref="F105 J105">
    <cfRule type="cellIs" dxfId="25" priority="31" operator="lessThan">
      <formula>0</formula>
    </cfRule>
  </conditionalFormatting>
  <conditionalFormatting sqref="C105:E105">
    <cfRule type="cellIs" dxfId="24" priority="32" operator="lessThan">
      <formula>0</formula>
    </cfRule>
  </conditionalFormatting>
  <conditionalFormatting sqref="G92 G95">
    <cfRule type="cellIs" dxfId="23" priority="25" operator="lessThan">
      <formula>0</formula>
    </cfRule>
  </conditionalFormatting>
  <conditionalFormatting sqref="E58">
    <cfRule type="cellIs" dxfId="22" priority="24" operator="lessThan">
      <formula>0</formula>
    </cfRule>
  </conditionalFormatting>
  <conditionalFormatting sqref="G12">
    <cfRule type="cellIs" dxfId="21" priority="23" operator="lessThan">
      <formula>0</formula>
    </cfRule>
  </conditionalFormatting>
  <conditionalFormatting sqref="C12:E12">
    <cfRule type="cellIs" dxfId="20" priority="22" operator="lessThan">
      <formula>0</formula>
    </cfRule>
  </conditionalFormatting>
  <conditionalFormatting sqref="I12">
    <cfRule type="cellIs" dxfId="19" priority="21" operator="lessThan">
      <formula>0</formula>
    </cfRule>
  </conditionalFormatting>
  <conditionalFormatting sqref="H12">
    <cfRule type="cellIs" dxfId="18" priority="20" operator="lessThan">
      <formula>0</formula>
    </cfRule>
  </conditionalFormatting>
  <conditionalFormatting sqref="C9:C11">
    <cfRule type="cellIs" dxfId="17" priority="19" operator="lessThan">
      <formula>0</formula>
    </cfRule>
  </conditionalFormatting>
  <conditionalFormatting sqref="D9:D11">
    <cfRule type="cellIs" dxfId="16" priority="18" operator="lessThan">
      <formula>0</formula>
    </cfRule>
  </conditionalFormatting>
  <conditionalFormatting sqref="E9:E11">
    <cfRule type="cellIs" dxfId="15" priority="17" operator="lessThan">
      <formula>0</formula>
    </cfRule>
  </conditionalFormatting>
  <conditionalFormatting sqref="H81:I81 E81">
    <cfRule type="cellIs" dxfId="14" priority="16" operator="lessThan">
      <formula>0</formula>
    </cfRule>
  </conditionalFormatting>
  <conditionalFormatting sqref="C81:D81">
    <cfRule type="cellIs" dxfId="13" priority="15" operator="lessThan">
      <formula>0</formula>
    </cfRule>
  </conditionalFormatting>
  <conditionalFormatting sqref="G81">
    <cfRule type="cellIs" dxfId="12" priority="14" operator="lessThan">
      <formula>0</formula>
    </cfRule>
  </conditionalFormatting>
  <conditionalFormatting sqref="G82:G83">
    <cfRule type="cellIs" dxfId="11" priority="13" operator="lessThan">
      <formula>0</formula>
    </cfRule>
  </conditionalFormatting>
  <conditionalFormatting sqref="H82:H83">
    <cfRule type="cellIs" dxfId="10" priority="12" operator="lessThan">
      <formula>0</formula>
    </cfRule>
  </conditionalFormatting>
  <conditionalFormatting sqref="C82:D83">
    <cfRule type="cellIs" dxfId="9" priority="11" operator="lessThan">
      <formula>0</formula>
    </cfRule>
  </conditionalFormatting>
  <conditionalFormatting sqref="I82:I83">
    <cfRule type="cellIs" dxfId="8" priority="9" operator="lessThan">
      <formula>0</formula>
    </cfRule>
  </conditionalFormatting>
  <conditionalFormatting sqref="E94">
    <cfRule type="cellIs" dxfId="7" priority="2" operator="lessThan">
      <formula>0</formula>
    </cfRule>
  </conditionalFormatting>
  <conditionalFormatting sqref="E82:E83">
    <cfRule type="cellIs" dxfId="6" priority="8" operator="lessThan">
      <formula>0</formula>
    </cfRule>
  </conditionalFormatting>
  <conditionalFormatting sqref="G93:I93">
    <cfRule type="cellIs" dxfId="5" priority="7" operator="lessThan">
      <formula>0</formula>
    </cfRule>
  </conditionalFormatting>
  <conditionalFormatting sqref="C93:E93">
    <cfRule type="cellIs" dxfId="4" priority="6" operator="lessThan">
      <formula>0</formula>
    </cfRule>
  </conditionalFormatting>
  <conditionalFormatting sqref="G94">
    <cfRule type="cellIs" dxfId="3" priority="5" operator="lessThan">
      <formula>0</formula>
    </cfRule>
  </conditionalFormatting>
  <conditionalFormatting sqref="H94">
    <cfRule type="cellIs" dxfId="2" priority="4" operator="lessThan">
      <formula>0</formula>
    </cfRule>
  </conditionalFormatting>
  <conditionalFormatting sqref="C94:D94">
    <cfRule type="cellIs" dxfId="1" priority="3" operator="lessThan">
      <formula>0</formula>
    </cfRule>
  </conditionalFormatting>
  <conditionalFormatting sqref="I94">
    <cfRule type="cellIs" dxfId="0" priority="1" operator="lessThan">
      <formula>0</formula>
    </cfRule>
  </conditionalFormatting>
  <pageMargins left="0.25" right="0.25" top="0.75" bottom="0.75" header="0.3" footer="0.3"/>
  <pageSetup fitToHeight="0" orientation="portrait" r:id="rId1"/>
  <headerFooter>
    <oddFooter>&amp;C&amp;1#&amp;"arial"&amp;9&amp;K008000 C1 - Internal use</oddFooter>
  </headerFooter>
  <rowBreaks count="1" manualBreakCount="1">
    <brk id="70" max="13" man="1"/>
  </rowBreaks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7"/>
  <sheetViews>
    <sheetView workbookViewId="0">
      <selection activeCell="J4" sqref="J4"/>
    </sheetView>
  </sheetViews>
  <sheetFormatPr defaultColWidth="8.81640625" defaultRowHeight="14.75" x14ac:dyDescent="0.75"/>
  <cols>
    <col min="3" max="3" width="12.5" style="137" customWidth="1"/>
    <col min="4" max="4" width="12.1796875" customWidth="1"/>
    <col min="7" max="7" width="13.5" customWidth="1"/>
    <col min="8" max="8" width="13.5" style="137" customWidth="1"/>
    <col min="9" max="10" width="9.5" bestFit="1" customWidth="1"/>
  </cols>
  <sheetData>
    <row r="1" spans="1:10" x14ac:dyDescent="0.75">
      <c r="C1" s="137" t="s">
        <v>192</v>
      </c>
      <c r="D1" t="s">
        <v>193</v>
      </c>
      <c r="E1" t="s">
        <v>194</v>
      </c>
      <c r="F1" t="s">
        <v>195</v>
      </c>
      <c r="G1" t="s">
        <v>187</v>
      </c>
      <c r="H1" s="137" t="s">
        <v>190</v>
      </c>
      <c r="I1" t="s">
        <v>188</v>
      </c>
      <c r="J1" t="s">
        <v>189</v>
      </c>
    </row>
    <row r="2" spans="1:10" x14ac:dyDescent="0.75">
      <c r="A2" s="28" t="s">
        <v>181</v>
      </c>
      <c r="B2" s="28" t="s">
        <v>182</v>
      </c>
      <c r="C2" s="145">
        <v>84.24</v>
      </c>
      <c r="D2" s="145">
        <v>645</v>
      </c>
      <c r="E2" s="140">
        <v>18.21</v>
      </c>
      <c r="F2" s="140">
        <v>8.61</v>
      </c>
      <c r="G2" s="140">
        <v>4.95</v>
      </c>
      <c r="H2" s="140">
        <v>45.4</v>
      </c>
      <c r="I2" s="140">
        <v>9.83</v>
      </c>
      <c r="J2" s="140">
        <v>10.63</v>
      </c>
    </row>
    <row r="3" spans="1:10" x14ac:dyDescent="0.75">
      <c r="A3" t="s">
        <v>183</v>
      </c>
      <c r="B3" t="s">
        <v>184</v>
      </c>
      <c r="C3" s="140"/>
      <c r="D3" s="140">
        <v>609.54</v>
      </c>
      <c r="E3" s="140">
        <v>20.9</v>
      </c>
      <c r="F3" s="140">
        <v>8.61</v>
      </c>
      <c r="G3" s="140">
        <v>7.15</v>
      </c>
      <c r="H3" s="140">
        <v>65.55</v>
      </c>
      <c r="I3" s="140">
        <v>9.83</v>
      </c>
      <c r="J3" s="140">
        <v>10.63</v>
      </c>
    </row>
    <row r="4" spans="1:10" ht="15.5" thickBot="1" x14ac:dyDescent="0.9">
      <c r="A4" s="143" t="s">
        <v>185</v>
      </c>
      <c r="B4" s="143" t="s">
        <v>186</v>
      </c>
      <c r="C4" s="142"/>
      <c r="D4" s="142">
        <v>1277.95</v>
      </c>
      <c r="E4" s="142">
        <v>57.01</v>
      </c>
      <c r="F4" s="142">
        <v>17.22</v>
      </c>
      <c r="G4" s="142">
        <v>2.92</v>
      </c>
      <c r="H4" s="142">
        <v>26.57</v>
      </c>
      <c r="I4" s="142">
        <v>5.75</v>
      </c>
      <c r="J4" s="142">
        <v>10.63</v>
      </c>
    </row>
    <row r="5" spans="1:10" ht="15.5" thickTop="1" x14ac:dyDescent="0.75">
      <c r="A5" s="808" t="s">
        <v>15</v>
      </c>
      <c r="B5" s="808"/>
      <c r="C5" s="141">
        <f>SUM(C2:C4)</f>
        <v>84.24</v>
      </c>
      <c r="D5" s="141">
        <f>SUM(D2:D4)</f>
        <v>2532.4899999999998</v>
      </c>
      <c r="E5" s="141">
        <f t="shared" ref="E5:J5" si="0">SUM(E2:E4)</f>
        <v>96.12</v>
      </c>
      <c r="F5" s="141">
        <f t="shared" si="0"/>
        <v>34.44</v>
      </c>
      <c r="G5" s="141">
        <f t="shared" si="0"/>
        <v>15.020000000000001</v>
      </c>
      <c r="H5" s="141">
        <f t="shared" si="0"/>
        <v>137.51999999999998</v>
      </c>
      <c r="I5" s="141">
        <f t="shared" si="0"/>
        <v>25.41</v>
      </c>
      <c r="J5" s="141">
        <f t="shared" si="0"/>
        <v>31.89</v>
      </c>
    </row>
    <row r="7" spans="1:10" x14ac:dyDescent="0.75">
      <c r="A7" s="808" t="s">
        <v>191</v>
      </c>
      <c r="B7" s="808"/>
      <c r="C7" s="144"/>
      <c r="D7" s="141">
        <f>SUM(C5:J5)</f>
        <v>2957.1299999999992</v>
      </c>
    </row>
  </sheetData>
  <mergeCells count="2">
    <mergeCell ref="A5:B5"/>
    <mergeCell ref="A7:B7"/>
  </mergeCells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4"/>
  <sheetViews>
    <sheetView workbookViewId="0">
      <selection activeCell="J4" sqref="J4"/>
    </sheetView>
  </sheetViews>
  <sheetFormatPr defaultColWidth="8.81640625" defaultRowHeight="14.75" x14ac:dyDescent="0.75"/>
  <sheetData>
    <row r="1" spans="1:1" x14ac:dyDescent="0.75">
      <c r="A1" t="s">
        <v>0</v>
      </c>
    </row>
    <row r="2" spans="1:1" x14ac:dyDescent="0.75">
      <c r="A2" t="s">
        <v>7</v>
      </c>
    </row>
    <row r="3" spans="1:1" x14ac:dyDescent="0.75">
      <c r="A3" t="s">
        <v>8</v>
      </c>
    </row>
    <row r="4" spans="1:1" x14ac:dyDescent="0.75">
      <c r="A4" t="s">
        <v>9</v>
      </c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fitToPage="1"/>
  </sheetPr>
  <dimension ref="A1:F45"/>
  <sheetViews>
    <sheetView topLeftCell="A7" zoomScale="80" zoomScaleNormal="80" workbookViewId="0">
      <selection activeCell="B8" sqref="B8"/>
    </sheetView>
  </sheetViews>
  <sheetFormatPr defaultColWidth="8.81640625" defaultRowHeight="15.75" x14ac:dyDescent="0.6"/>
  <cols>
    <col min="1" max="1" width="66.1796875" style="421" customWidth="1"/>
    <col min="2" max="2" width="18.5" style="422" customWidth="1"/>
    <col min="3" max="3" width="0.81640625" style="414" customWidth="1"/>
    <col min="4" max="4" width="33.6796875" style="421" bestFit="1" customWidth="1"/>
    <col min="5" max="5" width="28.81640625" style="415" customWidth="1"/>
    <col min="6" max="6" width="11.5" style="415" customWidth="1"/>
    <col min="7" max="16384" width="8.81640625" style="410"/>
  </cols>
  <sheetData>
    <row r="1" spans="1:6" ht="22.75" x14ac:dyDescent="0.6">
      <c r="A1" s="740" t="s">
        <v>104</v>
      </c>
      <c r="B1" s="741"/>
      <c r="C1" s="741"/>
      <c r="D1" s="742"/>
      <c r="E1" s="409"/>
      <c r="F1" s="409"/>
    </row>
    <row r="2" spans="1:6" ht="20.5" x14ac:dyDescent="0.6">
      <c r="A2" s="743" t="s">
        <v>775</v>
      </c>
      <c r="B2" s="744"/>
      <c r="C2" s="744"/>
      <c r="D2" s="745"/>
      <c r="E2" s="409"/>
      <c r="F2" s="411"/>
    </row>
    <row r="3" spans="1:6" x14ac:dyDescent="0.6">
      <c r="A3" s="746">
        <v>43890</v>
      </c>
      <c r="B3" s="747"/>
      <c r="C3" s="747"/>
      <c r="D3" s="748"/>
      <c r="E3" s="409"/>
      <c r="F3" s="409"/>
    </row>
    <row r="4" spans="1:6" x14ac:dyDescent="0.6">
      <c r="A4" s="490"/>
      <c r="B4" s="413"/>
      <c r="D4" s="491"/>
    </row>
    <row r="5" spans="1:6" ht="28" x14ac:dyDescent="0.6">
      <c r="A5" s="492" t="s">
        <v>16</v>
      </c>
      <c r="B5" s="402" t="s">
        <v>895</v>
      </c>
      <c r="C5" s="416"/>
      <c r="D5" s="493" t="s">
        <v>14</v>
      </c>
      <c r="E5" s="417"/>
      <c r="F5" s="418"/>
    </row>
    <row r="6" spans="1:6" ht="14" x14ac:dyDescent="0.6">
      <c r="A6" s="494"/>
      <c r="B6" s="403"/>
      <c r="C6" s="416"/>
      <c r="D6" s="495"/>
      <c r="E6" s="417"/>
      <c r="F6" s="418"/>
    </row>
    <row r="7" spans="1:6" ht="14" x14ac:dyDescent="0.6">
      <c r="A7" s="494" t="s">
        <v>358</v>
      </c>
      <c r="B7" s="404"/>
      <c r="C7" s="423"/>
      <c r="D7" s="496"/>
      <c r="E7" s="417"/>
      <c r="F7" s="418"/>
    </row>
    <row r="8" spans="1:6" ht="14" x14ac:dyDescent="0.6">
      <c r="A8" s="497" t="s">
        <v>359</v>
      </c>
      <c r="B8" s="405">
        <f>'BS-QB'!B10+'BS-QB'!B12+'BS-QB'!B13</f>
        <v>844705.11999999988</v>
      </c>
      <c r="C8" s="424"/>
      <c r="D8" s="496"/>
      <c r="E8" s="417"/>
      <c r="F8" s="418"/>
    </row>
    <row r="9" spans="1:6" ht="14" x14ac:dyDescent="0.6">
      <c r="A9" s="498" t="s">
        <v>360</v>
      </c>
      <c r="B9" s="404">
        <f>'BS-QB'!B14</f>
        <v>20000</v>
      </c>
      <c r="C9" s="425"/>
      <c r="D9" s="496"/>
      <c r="E9" s="417"/>
      <c r="F9" s="419"/>
    </row>
    <row r="10" spans="1:6" ht="14" x14ac:dyDescent="0.6">
      <c r="A10" s="498" t="s">
        <v>361</v>
      </c>
      <c r="B10" s="404">
        <f>'BS-QB'!B21+'BS-QB'!B23</f>
        <v>105900.15</v>
      </c>
      <c r="C10" s="425"/>
      <c r="D10" s="496" t="s">
        <v>871</v>
      </c>
      <c r="E10" s="417"/>
      <c r="F10" s="419"/>
    </row>
    <row r="11" spans="1:6" ht="56" x14ac:dyDescent="0.6">
      <c r="A11" s="498" t="s">
        <v>362</v>
      </c>
      <c r="B11" s="521">
        <f>'BS-QB'!B24+'BS-QB'!B26+'BS-QB'!B27+'BS-QB'!B28+'BS-QB'!B29</f>
        <v>67711.88</v>
      </c>
      <c r="C11" s="425"/>
      <c r="D11" s="499" t="s">
        <v>870</v>
      </c>
      <c r="E11" s="417"/>
      <c r="F11" s="420"/>
    </row>
    <row r="12" spans="1:6" s="526" customFormat="1" ht="14" x14ac:dyDescent="0.6">
      <c r="A12" s="522" t="s">
        <v>363</v>
      </c>
      <c r="B12" s="408">
        <f>SUM(B8:B11)</f>
        <v>1038317.1499999999</v>
      </c>
      <c r="C12" s="523"/>
      <c r="D12" s="524"/>
      <c r="E12" s="417"/>
      <c r="F12" s="525"/>
    </row>
    <row r="13" spans="1:6" ht="14" x14ac:dyDescent="0.6">
      <c r="A13" s="494"/>
      <c r="B13" s="404"/>
      <c r="C13" s="426"/>
      <c r="D13" s="496"/>
      <c r="E13" s="417"/>
      <c r="F13" s="420"/>
    </row>
    <row r="14" spans="1:6" ht="14" x14ac:dyDescent="0.6">
      <c r="A14" s="498" t="s">
        <v>378</v>
      </c>
      <c r="B14" s="404">
        <f>'BS-QB'!B31</f>
        <v>93750</v>
      </c>
      <c r="C14" s="426"/>
      <c r="D14" s="496"/>
      <c r="E14" s="417"/>
      <c r="F14" s="420"/>
    </row>
    <row r="15" spans="1:6" ht="14" x14ac:dyDescent="0.6">
      <c r="A15" s="498" t="s">
        <v>364</v>
      </c>
      <c r="B15" s="521">
        <f>'BS-QB'!B70</f>
        <v>235784.33999999997</v>
      </c>
      <c r="C15" s="427"/>
      <c r="D15" s="496"/>
      <c r="E15" s="417"/>
      <c r="F15" s="418"/>
    </row>
    <row r="16" spans="1:6" ht="14" x14ac:dyDescent="0.6">
      <c r="A16" s="500"/>
      <c r="B16" s="404"/>
      <c r="C16" s="427"/>
      <c r="D16" s="496"/>
      <c r="E16" s="417"/>
      <c r="F16" s="418"/>
    </row>
    <row r="17" spans="1:6" ht="14.75" thickBot="1" x14ac:dyDescent="0.75">
      <c r="A17" s="501" t="s">
        <v>365</v>
      </c>
      <c r="B17" s="527">
        <f>SUM(B12+B14+B15)</f>
        <v>1367851.4899999998</v>
      </c>
      <c r="C17" s="427"/>
      <c r="D17" s="502"/>
      <c r="E17" s="417"/>
      <c r="F17" s="418"/>
    </row>
    <row r="18" spans="1:6" ht="14.75" thickTop="1" x14ac:dyDescent="0.6">
      <c r="A18" s="494"/>
      <c r="B18" s="404"/>
      <c r="C18" s="427"/>
      <c r="D18" s="496"/>
      <c r="E18" s="417"/>
      <c r="F18" s="418"/>
    </row>
    <row r="19" spans="1:6" ht="14" x14ac:dyDescent="0.6">
      <c r="A19" s="494"/>
      <c r="B19" s="404"/>
      <c r="C19" s="427"/>
      <c r="D19" s="496"/>
      <c r="E19" s="417"/>
      <c r="F19" s="418"/>
    </row>
    <row r="20" spans="1:6" ht="14" x14ac:dyDescent="0.6">
      <c r="A20" s="492" t="s">
        <v>366</v>
      </c>
      <c r="B20" s="406"/>
      <c r="C20" s="427"/>
      <c r="D20" s="496"/>
      <c r="E20" s="417"/>
      <c r="F20" s="418"/>
    </row>
    <row r="21" spans="1:6" ht="14" x14ac:dyDescent="0.6">
      <c r="A21" s="492"/>
      <c r="B21" s="406"/>
      <c r="C21" s="427"/>
      <c r="D21" s="496"/>
      <c r="E21" s="417"/>
      <c r="F21" s="418"/>
    </row>
    <row r="22" spans="1:6" ht="14" x14ac:dyDescent="0.6">
      <c r="A22" s="494" t="s">
        <v>367</v>
      </c>
      <c r="B22" s="404"/>
      <c r="C22" s="427"/>
      <c r="D22" s="496"/>
      <c r="E22" s="417"/>
      <c r="F22" s="418"/>
    </row>
    <row r="23" spans="1:6" ht="14" x14ac:dyDescent="0.6">
      <c r="A23" s="500" t="s">
        <v>368</v>
      </c>
      <c r="B23" s="405">
        <f>'BS-QB'!B77</f>
        <v>51929.46</v>
      </c>
      <c r="C23" s="427"/>
      <c r="D23" s="499"/>
      <c r="E23" s="417"/>
      <c r="F23" s="418"/>
    </row>
    <row r="24" spans="1:6" ht="28" x14ac:dyDescent="0.6">
      <c r="A24" s="500" t="s">
        <v>369</v>
      </c>
      <c r="B24" s="404">
        <f>'BS-QB'!B87</f>
        <v>451507.86</v>
      </c>
      <c r="C24" s="425"/>
      <c r="D24" s="499" t="s">
        <v>868</v>
      </c>
      <c r="E24" s="417"/>
      <c r="F24" s="419"/>
    </row>
    <row r="25" spans="1:6" ht="14" x14ac:dyDescent="0.6">
      <c r="A25" s="500" t="s">
        <v>379</v>
      </c>
      <c r="B25" s="521">
        <f>'BS-QB'!B83+'BS-QB'!B92+'BS-QB'!B93+'BS-QB'!B85+'BS-QB'!B86</f>
        <v>45046.099999999991</v>
      </c>
      <c r="C25" s="425"/>
      <c r="D25" s="496"/>
      <c r="E25" s="417"/>
      <c r="F25" s="419"/>
    </row>
    <row r="26" spans="1:6" s="526" customFormat="1" ht="14" x14ac:dyDescent="0.6">
      <c r="A26" s="522" t="s">
        <v>370</v>
      </c>
      <c r="B26" s="408">
        <f>SUM(B23:B25)</f>
        <v>548483.42000000004</v>
      </c>
      <c r="C26" s="426"/>
      <c r="D26" s="528"/>
      <c r="E26" s="417"/>
      <c r="F26" s="525"/>
    </row>
    <row r="27" spans="1:6" ht="14" x14ac:dyDescent="0.6">
      <c r="A27" s="500"/>
      <c r="B27" s="404"/>
      <c r="C27" s="426"/>
      <c r="D27" s="499"/>
      <c r="E27" s="417"/>
      <c r="F27" s="419"/>
    </row>
    <row r="28" spans="1:6" ht="14" x14ac:dyDescent="0.6">
      <c r="A28" s="500" t="s">
        <v>371</v>
      </c>
      <c r="B28" s="521">
        <f>'BS-QB'!B101</f>
        <v>617292.16</v>
      </c>
      <c r="C28" s="426"/>
      <c r="D28" s="499"/>
      <c r="E28" s="417"/>
      <c r="F28" s="419"/>
    </row>
    <row r="29" spans="1:6" ht="14" x14ac:dyDescent="0.6">
      <c r="A29" s="500"/>
      <c r="B29" s="404"/>
      <c r="C29" s="426"/>
      <c r="D29" s="499"/>
      <c r="E29" s="417"/>
      <c r="F29" s="419"/>
    </row>
    <row r="30" spans="1:6" ht="14" x14ac:dyDescent="0.6">
      <c r="A30" s="501" t="s">
        <v>372</v>
      </c>
      <c r="B30" s="529">
        <f>B26+B28</f>
        <v>1165775.58</v>
      </c>
      <c r="C30" s="427"/>
      <c r="D30" s="496"/>
      <c r="E30" s="417"/>
      <c r="F30" s="420"/>
    </row>
    <row r="31" spans="1:6" ht="14" x14ac:dyDescent="0.6">
      <c r="A31" s="494"/>
      <c r="B31" s="407"/>
      <c r="C31" s="427"/>
      <c r="D31" s="496"/>
      <c r="E31" s="417"/>
      <c r="F31" s="418"/>
    </row>
    <row r="32" spans="1:6" ht="14" x14ac:dyDescent="0.6">
      <c r="A32" s="494" t="s">
        <v>373</v>
      </c>
      <c r="B32" s="407"/>
      <c r="C32" s="427"/>
      <c r="D32" s="496"/>
      <c r="E32" s="417"/>
      <c r="F32" s="418"/>
    </row>
    <row r="33" spans="1:6" ht="14" x14ac:dyDescent="0.6">
      <c r="A33" s="494" t="s">
        <v>374</v>
      </c>
      <c r="B33" s="407">
        <f>'BS-QB'!B107</f>
        <v>413161.24</v>
      </c>
      <c r="C33" s="427"/>
      <c r="D33" s="496"/>
      <c r="E33" s="417"/>
      <c r="F33" s="418"/>
    </row>
    <row r="34" spans="1:6" ht="14" x14ac:dyDescent="0.6">
      <c r="A34" s="494" t="s">
        <v>375</v>
      </c>
      <c r="B34" s="530">
        <f>'BS-QB'!B108</f>
        <v>-211085.33</v>
      </c>
      <c r="C34" s="427"/>
      <c r="D34" s="496"/>
      <c r="E34" s="417"/>
      <c r="F34" s="418"/>
    </row>
    <row r="35" spans="1:6" ht="14" x14ac:dyDescent="0.6">
      <c r="A35" s="501" t="s">
        <v>376</v>
      </c>
      <c r="B35" s="531">
        <f>SUM(B33:B34)</f>
        <v>202075.91</v>
      </c>
      <c r="C35" s="427"/>
      <c r="D35" s="496"/>
      <c r="E35" s="417"/>
      <c r="F35" s="419"/>
    </row>
    <row r="36" spans="1:6" ht="14" x14ac:dyDescent="0.6">
      <c r="A36" s="494"/>
      <c r="B36" s="404"/>
      <c r="C36" s="427"/>
      <c r="D36" s="496"/>
      <c r="E36" s="417"/>
      <c r="F36" s="419"/>
    </row>
    <row r="37" spans="1:6" ht="14.75" thickBot="1" x14ac:dyDescent="0.75">
      <c r="A37" s="501" t="s">
        <v>377</v>
      </c>
      <c r="B37" s="527">
        <f>SUM(B30+B35)</f>
        <v>1367851.49</v>
      </c>
      <c r="C37" s="427"/>
      <c r="D37" s="507"/>
      <c r="E37" s="417"/>
      <c r="F37" s="420"/>
    </row>
    <row r="38" spans="1:6" ht="16.5" thickTop="1" x14ac:dyDescent="0.6">
      <c r="A38" s="503"/>
      <c r="B38" s="504"/>
      <c r="C38" s="505"/>
      <c r="D38" s="506"/>
    </row>
    <row r="39" spans="1:6" x14ac:dyDescent="0.6">
      <c r="A39" s="412"/>
      <c r="B39" s="413"/>
      <c r="D39" s="412"/>
    </row>
    <row r="40" spans="1:6" x14ac:dyDescent="0.6">
      <c r="A40" s="412"/>
      <c r="B40" s="413"/>
      <c r="D40" s="412"/>
    </row>
    <row r="41" spans="1:6" x14ac:dyDescent="0.6">
      <c r="A41" s="412"/>
      <c r="B41" s="413"/>
      <c r="D41" s="412"/>
    </row>
    <row r="42" spans="1:6" x14ac:dyDescent="0.6">
      <c r="B42" s="413"/>
    </row>
    <row r="43" spans="1:6" x14ac:dyDescent="0.6">
      <c r="B43" s="413"/>
    </row>
    <row r="44" spans="1:6" x14ac:dyDescent="0.6">
      <c r="B44" s="413"/>
    </row>
    <row r="45" spans="1:6" x14ac:dyDescent="0.6">
      <c r="B45" s="413"/>
    </row>
  </sheetData>
  <mergeCells count="3">
    <mergeCell ref="A1:D1"/>
    <mergeCell ref="A2:D2"/>
    <mergeCell ref="A3:D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14"/>
  <sheetViews>
    <sheetView topLeftCell="A73" workbookViewId="0">
      <selection activeCell="B86" sqref="B86"/>
    </sheetView>
  </sheetViews>
  <sheetFormatPr defaultColWidth="8.6796875" defaultRowHeight="14.75" x14ac:dyDescent="0.75"/>
  <cols>
    <col min="1" max="1" width="55.81640625" style="688" customWidth="1"/>
    <col min="2" max="2" width="30.81640625" style="688" customWidth="1"/>
    <col min="3" max="16384" width="8.6796875" style="688"/>
  </cols>
  <sheetData>
    <row r="1" spans="1:2" ht="18" x14ac:dyDescent="0.8">
      <c r="A1" s="749" t="s">
        <v>104</v>
      </c>
      <c r="B1" s="750"/>
    </row>
    <row r="2" spans="1:2" ht="18" x14ac:dyDescent="0.8">
      <c r="A2" s="749" t="s">
        <v>98</v>
      </c>
      <c r="B2" s="750"/>
    </row>
    <row r="3" spans="1:2" x14ac:dyDescent="0.75">
      <c r="A3" s="751" t="s">
        <v>864</v>
      </c>
      <c r="B3" s="750"/>
    </row>
    <row r="5" spans="1:2" x14ac:dyDescent="0.75">
      <c r="A5" s="177"/>
      <c r="B5" s="640" t="s">
        <v>15</v>
      </c>
    </row>
    <row r="6" spans="1:2" x14ac:dyDescent="0.75">
      <c r="A6" s="636" t="s">
        <v>16</v>
      </c>
      <c r="B6" s="637"/>
    </row>
    <row r="7" spans="1:2" x14ac:dyDescent="0.75">
      <c r="A7" s="636" t="s">
        <v>17</v>
      </c>
      <c r="B7" s="637"/>
    </row>
    <row r="8" spans="1:2" x14ac:dyDescent="0.75">
      <c r="A8" s="636" t="s">
        <v>18</v>
      </c>
      <c r="B8" s="637"/>
    </row>
    <row r="9" spans="1:2" x14ac:dyDescent="0.75">
      <c r="A9" s="636" t="s">
        <v>19</v>
      </c>
      <c r="B9" s="637"/>
    </row>
    <row r="10" spans="1:2" x14ac:dyDescent="0.75">
      <c r="A10" s="636" t="s">
        <v>105</v>
      </c>
      <c r="B10" s="638">
        <f>839764.07</f>
        <v>839764.07</v>
      </c>
    </row>
    <row r="11" spans="1:2" x14ac:dyDescent="0.75">
      <c r="A11" s="636" t="s">
        <v>302</v>
      </c>
      <c r="B11" s="637"/>
    </row>
    <row r="12" spans="1:2" x14ac:dyDescent="0.75">
      <c r="A12" s="636" t="s">
        <v>106</v>
      </c>
      <c r="B12" s="638">
        <f>3940.57</f>
        <v>3940.57</v>
      </c>
    </row>
    <row r="13" spans="1:2" x14ac:dyDescent="0.75">
      <c r="A13" s="636" t="s">
        <v>303</v>
      </c>
      <c r="B13" s="638">
        <f>1000.48</f>
        <v>1000.48</v>
      </c>
    </row>
    <row r="14" spans="1:2" x14ac:dyDescent="0.75">
      <c r="A14" s="636" t="s">
        <v>304</v>
      </c>
      <c r="B14" s="638">
        <f>20000</f>
        <v>20000</v>
      </c>
    </row>
    <row r="15" spans="1:2" x14ac:dyDescent="0.75">
      <c r="A15" s="636" t="s">
        <v>20</v>
      </c>
      <c r="B15" s="639">
        <f>(((((B9)+(B10))+(B11))+(B12))+(B13))+(B14)</f>
        <v>864705.11999999988</v>
      </c>
    </row>
    <row r="16" spans="1:2" x14ac:dyDescent="0.75">
      <c r="A16" s="636" t="s">
        <v>305</v>
      </c>
      <c r="B16" s="637"/>
    </row>
    <row r="17" spans="1:2" x14ac:dyDescent="0.75">
      <c r="A17" s="636" t="s">
        <v>99</v>
      </c>
      <c r="B17" s="638">
        <f>0</f>
        <v>0</v>
      </c>
    </row>
    <row r="18" spans="1:2" x14ac:dyDescent="0.75">
      <c r="A18" s="636" t="s">
        <v>21</v>
      </c>
      <c r="B18" s="639">
        <f>((B15)+(B16))+(B17)</f>
        <v>864705.11999999988</v>
      </c>
    </row>
    <row r="19" spans="1:2" x14ac:dyDescent="0.75">
      <c r="A19" s="636" t="s">
        <v>306</v>
      </c>
      <c r="B19" s="637"/>
    </row>
    <row r="20" spans="1:2" x14ac:dyDescent="0.75">
      <c r="A20" s="636" t="s">
        <v>307</v>
      </c>
      <c r="B20" s="638">
        <f>1000</f>
        <v>1000</v>
      </c>
    </row>
    <row r="21" spans="1:2" x14ac:dyDescent="0.75">
      <c r="A21" s="636" t="s">
        <v>308</v>
      </c>
      <c r="B21" s="639">
        <f>B20</f>
        <v>1000</v>
      </c>
    </row>
    <row r="22" spans="1:2" x14ac:dyDescent="0.75">
      <c r="A22" s="636" t="s">
        <v>122</v>
      </c>
      <c r="B22" s="637"/>
    </row>
    <row r="23" spans="1:2" x14ac:dyDescent="0.75">
      <c r="A23" s="636" t="s">
        <v>156</v>
      </c>
      <c r="B23" s="638">
        <f>104900.15</f>
        <v>104900.15</v>
      </c>
    </row>
    <row r="24" spans="1:2" x14ac:dyDescent="0.75">
      <c r="A24" s="636" t="s">
        <v>173</v>
      </c>
      <c r="B24" s="638">
        <f>0</f>
        <v>0</v>
      </c>
    </row>
    <row r="25" spans="1:2" x14ac:dyDescent="0.75">
      <c r="A25" s="636" t="s">
        <v>123</v>
      </c>
      <c r="B25" s="637"/>
    </row>
    <row r="26" spans="1:2" x14ac:dyDescent="0.75">
      <c r="A26" s="636" t="s">
        <v>127</v>
      </c>
      <c r="B26" s="638">
        <f>54554.63</f>
        <v>54554.63</v>
      </c>
    </row>
    <row r="27" spans="1:2" x14ac:dyDescent="0.75">
      <c r="A27" s="636" t="s">
        <v>157</v>
      </c>
      <c r="B27" s="638">
        <f>13157.25</f>
        <v>13157.25</v>
      </c>
    </row>
    <row r="28" spans="1:2" x14ac:dyDescent="0.75">
      <c r="A28" s="636" t="s">
        <v>124</v>
      </c>
      <c r="B28" s="638">
        <f>0</f>
        <v>0</v>
      </c>
    </row>
    <row r="29" spans="1:2" x14ac:dyDescent="0.75">
      <c r="A29" s="636" t="s">
        <v>309</v>
      </c>
      <c r="B29" s="637"/>
    </row>
    <row r="30" spans="1:2" x14ac:dyDescent="0.75">
      <c r="A30" s="636" t="s">
        <v>125</v>
      </c>
      <c r="B30" s="639">
        <f>((((B25)+(B26))+(B27))+(B28))+(B29)</f>
        <v>67711.88</v>
      </c>
    </row>
    <row r="31" spans="1:2" x14ac:dyDescent="0.75">
      <c r="A31" s="636" t="s">
        <v>310</v>
      </c>
      <c r="B31" s="638">
        <f>93750</f>
        <v>93750</v>
      </c>
    </row>
    <row r="32" spans="1:2" x14ac:dyDescent="0.75">
      <c r="A32" s="636" t="s">
        <v>311</v>
      </c>
      <c r="B32" s="637"/>
    </row>
    <row r="33" spans="1:2" x14ac:dyDescent="0.75">
      <c r="A33" s="636" t="s">
        <v>312</v>
      </c>
      <c r="B33" s="637"/>
    </row>
    <row r="34" spans="1:2" x14ac:dyDescent="0.75">
      <c r="A34" s="636" t="s">
        <v>313</v>
      </c>
      <c r="B34" s="637"/>
    </row>
    <row r="35" spans="1:2" x14ac:dyDescent="0.75">
      <c r="A35" s="636" t="s">
        <v>126</v>
      </c>
      <c r="B35" s="639">
        <f>((((((B23)+(B24))+(B30))+(B31))+(B32))+(B33))+(B34)</f>
        <v>266362.03000000003</v>
      </c>
    </row>
    <row r="36" spans="1:2" x14ac:dyDescent="0.75">
      <c r="A36" s="636" t="s">
        <v>22</v>
      </c>
      <c r="B36" s="639">
        <f>((B18)+(B21))+(B35)</f>
        <v>1132067.1499999999</v>
      </c>
    </row>
    <row r="37" spans="1:2" x14ac:dyDescent="0.75">
      <c r="A37" s="636" t="s">
        <v>174</v>
      </c>
      <c r="B37" s="637"/>
    </row>
    <row r="38" spans="1:2" x14ac:dyDescent="0.75">
      <c r="A38" s="636" t="s">
        <v>314</v>
      </c>
      <c r="B38" s="637"/>
    </row>
    <row r="39" spans="1:2" x14ac:dyDescent="0.75">
      <c r="A39" s="636" t="s">
        <v>315</v>
      </c>
      <c r="B39" s="637"/>
    </row>
    <row r="40" spans="1:2" x14ac:dyDescent="0.75">
      <c r="A40" s="636" t="s">
        <v>316</v>
      </c>
      <c r="B40" s="638">
        <f>14934.12</f>
        <v>14934.12</v>
      </c>
    </row>
    <row r="41" spans="1:2" x14ac:dyDescent="0.75">
      <c r="A41" s="636" t="s">
        <v>317</v>
      </c>
      <c r="B41" s="638">
        <f>-1969.61</f>
        <v>-1969.61</v>
      </c>
    </row>
    <row r="42" spans="1:2" x14ac:dyDescent="0.75">
      <c r="A42" s="636" t="s">
        <v>318</v>
      </c>
      <c r="B42" s="637"/>
    </row>
    <row r="43" spans="1:2" x14ac:dyDescent="0.75">
      <c r="A43" s="636" t="s">
        <v>319</v>
      </c>
      <c r="B43" s="639">
        <f>((((B38)+(B39))+(B40))+(B41))+(B42)</f>
        <v>12964.51</v>
      </c>
    </row>
    <row r="44" spans="1:2" x14ac:dyDescent="0.75">
      <c r="A44" s="636" t="s">
        <v>320</v>
      </c>
      <c r="B44" s="637"/>
    </row>
    <row r="45" spans="1:2" x14ac:dyDescent="0.75">
      <c r="A45" s="636" t="s">
        <v>198</v>
      </c>
      <c r="B45" s="637"/>
    </row>
    <row r="46" spans="1:2" x14ac:dyDescent="0.75">
      <c r="A46" s="636" t="s">
        <v>321</v>
      </c>
      <c r="B46" s="638">
        <f>43102.07</f>
        <v>43102.07</v>
      </c>
    </row>
    <row r="47" spans="1:2" x14ac:dyDescent="0.75">
      <c r="A47" s="636" t="s">
        <v>322</v>
      </c>
      <c r="B47" s="638">
        <f>-4009.52</f>
        <v>-4009.52</v>
      </c>
    </row>
    <row r="48" spans="1:2" x14ac:dyDescent="0.75">
      <c r="A48" s="636" t="s">
        <v>323</v>
      </c>
      <c r="B48" s="639">
        <f>(((B44)+(B45))+(B46))+(B47)</f>
        <v>39092.550000000003</v>
      </c>
    </row>
    <row r="49" spans="1:2" x14ac:dyDescent="0.75">
      <c r="A49" s="636" t="s">
        <v>324</v>
      </c>
      <c r="B49" s="637"/>
    </row>
    <row r="50" spans="1:2" x14ac:dyDescent="0.75">
      <c r="A50" s="636" t="s">
        <v>325</v>
      </c>
      <c r="B50" s="638">
        <f>12645</f>
        <v>12645</v>
      </c>
    </row>
    <row r="51" spans="1:2" x14ac:dyDescent="0.75">
      <c r="A51" s="636" t="s">
        <v>241</v>
      </c>
      <c r="B51" s="638">
        <f>18219.15</f>
        <v>18219.150000000001</v>
      </c>
    </row>
    <row r="52" spans="1:2" x14ac:dyDescent="0.75">
      <c r="A52" s="636" t="s">
        <v>326</v>
      </c>
      <c r="B52" s="638">
        <f>1705</f>
        <v>1705</v>
      </c>
    </row>
    <row r="53" spans="1:2" x14ac:dyDescent="0.75">
      <c r="A53" s="636" t="s">
        <v>327</v>
      </c>
      <c r="B53" s="638">
        <f>9410</f>
        <v>9410</v>
      </c>
    </row>
    <row r="54" spans="1:2" x14ac:dyDescent="0.75">
      <c r="A54" s="636" t="s">
        <v>328</v>
      </c>
      <c r="B54" s="638">
        <f>9245</f>
        <v>9245</v>
      </c>
    </row>
    <row r="55" spans="1:2" x14ac:dyDescent="0.75">
      <c r="A55" s="636" t="s">
        <v>329</v>
      </c>
      <c r="B55" s="637"/>
    </row>
    <row r="56" spans="1:2" x14ac:dyDescent="0.75">
      <c r="A56" s="636" t="s">
        <v>330</v>
      </c>
      <c r="B56" s="637"/>
    </row>
    <row r="57" spans="1:2" x14ac:dyDescent="0.75">
      <c r="A57" s="636" t="s">
        <v>331</v>
      </c>
      <c r="B57" s="638">
        <f>21005</f>
        <v>21005</v>
      </c>
    </row>
    <row r="58" spans="1:2" x14ac:dyDescent="0.75">
      <c r="A58" s="636" t="s">
        <v>242</v>
      </c>
      <c r="B58" s="638">
        <f>13738</f>
        <v>13738</v>
      </c>
    </row>
    <row r="59" spans="1:2" x14ac:dyDescent="0.75">
      <c r="A59" s="636" t="s">
        <v>332</v>
      </c>
      <c r="B59" s="637"/>
    </row>
    <row r="60" spans="1:2" x14ac:dyDescent="0.75">
      <c r="A60" s="636" t="s">
        <v>333</v>
      </c>
      <c r="B60" s="637"/>
    </row>
    <row r="61" spans="1:2" x14ac:dyDescent="0.75">
      <c r="A61" s="636" t="s">
        <v>334</v>
      </c>
      <c r="B61" s="638">
        <f>15615</f>
        <v>15615</v>
      </c>
    </row>
    <row r="62" spans="1:2" x14ac:dyDescent="0.75">
      <c r="A62" s="636" t="s">
        <v>335</v>
      </c>
      <c r="B62" s="638">
        <f>-16316.07</f>
        <v>-16316.07</v>
      </c>
    </row>
    <row r="63" spans="1:2" x14ac:dyDescent="0.75">
      <c r="A63" s="636" t="s">
        <v>336</v>
      </c>
      <c r="B63" s="639">
        <f>(((((((((((((B49)+(B50))+(B51))+(B52))+(B53))+(B54))+(B55))+(B56))+(B57))+(B58))+(B59))+(B60))+(B61))+(B62)</f>
        <v>85266.079999999987</v>
      </c>
    </row>
    <row r="64" spans="1:2" x14ac:dyDescent="0.75">
      <c r="A64" s="636" t="s">
        <v>337</v>
      </c>
      <c r="B64" s="637"/>
    </row>
    <row r="65" spans="1:2" x14ac:dyDescent="0.75">
      <c r="A65" s="636" t="s">
        <v>338</v>
      </c>
      <c r="B65" s="638">
        <f>99375</f>
        <v>99375</v>
      </c>
    </row>
    <row r="66" spans="1:2" x14ac:dyDescent="0.75">
      <c r="A66" s="636" t="s">
        <v>339</v>
      </c>
      <c r="B66" s="637"/>
    </row>
    <row r="67" spans="1:2" x14ac:dyDescent="0.75">
      <c r="A67" s="636" t="s">
        <v>865</v>
      </c>
      <c r="B67" s="638">
        <f>-913.8</f>
        <v>-913.8</v>
      </c>
    </row>
    <row r="68" spans="1:2" x14ac:dyDescent="0.75">
      <c r="A68" s="636" t="s">
        <v>340</v>
      </c>
      <c r="B68" s="639">
        <f>(((B64)+(B65))+(B66))+(B67)</f>
        <v>98461.2</v>
      </c>
    </row>
    <row r="69" spans="1:2" x14ac:dyDescent="0.75">
      <c r="A69" s="636" t="s">
        <v>341</v>
      </c>
      <c r="B69" s="637"/>
    </row>
    <row r="70" spans="1:2" x14ac:dyDescent="0.75">
      <c r="A70" s="636" t="s">
        <v>175</v>
      </c>
      <c r="B70" s="639">
        <f>((((B43)+(B48))+(B63))+(B68))+(B69)</f>
        <v>235784.33999999997</v>
      </c>
    </row>
    <row r="71" spans="1:2" x14ac:dyDescent="0.75">
      <c r="A71" s="636" t="s">
        <v>23</v>
      </c>
      <c r="B71" s="639">
        <f>(B36)+(B70)</f>
        <v>1367851.4899999998</v>
      </c>
    </row>
    <row r="72" spans="1:2" x14ac:dyDescent="0.75">
      <c r="A72" s="636" t="s">
        <v>24</v>
      </c>
      <c r="B72" s="637"/>
    </row>
    <row r="73" spans="1:2" x14ac:dyDescent="0.75">
      <c r="A73" s="636" t="s">
        <v>25</v>
      </c>
      <c r="B73" s="637"/>
    </row>
    <row r="74" spans="1:2" x14ac:dyDescent="0.75">
      <c r="A74" s="636" t="s">
        <v>26</v>
      </c>
      <c r="B74" s="637"/>
    </row>
    <row r="75" spans="1:2" x14ac:dyDescent="0.75">
      <c r="A75" s="636" t="s">
        <v>27</v>
      </c>
      <c r="B75" s="637"/>
    </row>
    <row r="76" spans="1:2" x14ac:dyDescent="0.75">
      <c r="A76" s="636" t="s">
        <v>36</v>
      </c>
      <c r="B76" s="638">
        <f>51929.46</f>
        <v>51929.46</v>
      </c>
    </row>
    <row r="77" spans="1:2" x14ac:dyDescent="0.75">
      <c r="A77" s="636" t="s">
        <v>28</v>
      </c>
      <c r="B77" s="639">
        <f>B76</f>
        <v>51929.46</v>
      </c>
    </row>
    <row r="78" spans="1:2" x14ac:dyDescent="0.75">
      <c r="A78" s="636" t="s">
        <v>29</v>
      </c>
      <c r="B78" s="637"/>
    </row>
    <row r="79" spans="1:2" x14ac:dyDescent="0.75">
      <c r="A79" s="636" t="s">
        <v>342</v>
      </c>
      <c r="B79" s="637"/>
    </row>
    <row r="80" spans="1:2" x14ac:dyDescent="0.75">
      <c r="A80" s="636" t="s">
        <v>343</v>
      </c>
      <c r="B80" s="637"/>
    </row>
    <row r="81" spans="1:2" x14ac:dyDescent="0.75">
      <c r="A81" s="636" t="s">
        <v>344</v>
      </c>
      <c r="B81" s="638">
        <f>32819.35</f>
        <v>32819.35</v>
      </c>
    </row>
    <row r="82" spans="1:2" x14ac:dyDescent="0.75">
      <c r="A82" s="636" t="s">
        <v>345</v>
      </c>
      <c r="B82" s="638">
        <f>9239.3</f>
        <v>9239.2999999999993</v>
      </c>
    </row>
    <row r="83" spans="1:2" x14ac:dyDescent="0.75">
      <c r="A83" s="636" t="s">
        <v>346</v>
      </c>
      <c r="B83" s="639">
        <f>((B80)+(B81))+(B82)</f>
        <v>42058.649999999994</v>
      </c>
    </row>
    <row r="84" spans="1:2" x14ac:dyDescent="0.75">
      <c r="A84" s="636" t="s">
        <v>103</v>
      </c>
      <c r="B84" s="638">
        <f>0</f>
        <v>0</v>
      </c>
    </row>
    <row r="85" spans="1:2" x14ac:dyDescent="0.75">
      <c r="A85" s="636" t="s">
        <v>866</v>
      </c>
      <c r="B85" s="638">
        <f>0</f>
        <v>0</v>
      </c>
    </row>
    <row r="86" spans="1:2" x14ac:dyDescent="0.75">
      <c r="A86" s="636" t="s">
        <v>867</v>
      </c>
      <c r="B86" s="638">
        <f>1607.57</f>
        <v>1607.57</v>
      </c>
    </row>
    <row r="87" spans="1:2" x14ac:dyDescent="0.75">
      <c r="A87" s="636" t="s">
        <v>243</v>
      </c>
      <c r="B87" s="638">
        <f>451507.86</f>
        <v>451507.86</v>
      </c>
    </row>
    <row r="88" spans="1:2" x14ac:dyDescent="0.75">
      <c r="A88" s="636" t="s">
        <v>347</v>
      </c>
      <c r="B88" s="637"/>
    </row>
    <row r="89" spans="1:2" x14ac:dyDescent="0.75">
      <c r="A89" s="636" t="s">
        <v>348</v>
      </c>
      <c r="B89" s="637"/>
    </row>
    <row r="90" spans="1:2" x14ac:dyDescent="0.75">
      <c r="A90" s="636" t="s">
        <v>349</v>
      </c>
      <c r="B90" s="637"/>
    </row>
    <row r="91" spans="1:2" x14ac:dyDescent="0.75">
      <c r="A91" s="636" t="s">
        <v>350</v>
      </c>
      <c r="B91" s="639">
        <f>((B88)+(B89))+(B90)</f>
        <v>0</v>
      </c>
    </row>
    <row r="92" spans="1:2" x14ac:dyDescent="0.75">
      <c r="A92" s="636" t="s">
        <v>244</v>
      </c>
      <c r="B92" s="638">
        <f>909.6</f>
        <v>909.6</v>
      </c>
    </row>
    <row r="93" spans="1:2" x14ac:dyDescent="0.75">
      <c r="A93" s="636" t="s">
        <v>245</v>
      </c>
      <c r="B93" s="638">
        <f>470.28</f>
        <v>470.28</v>
      </c>
    </row>
    <row r="94" spans="1:2" x14ac:dyDescent="0.75">
      <c r="A94" s="636" t="s">
        <v>30</v>
      </c>
      <c r="B94" s="639">
        <f>((((((((B79)+(B83))+(B84))+(B85))+(B86))+(B87))+(B91))+(B92))+(B93)</f>
        <v>496553.95999999996</v>
      </c>
    </row>
    <row r="95" spans="1:2" x14ac:dyDescent="0.75">
      <c r="A95" s="636" t="s">
        <v>31</v>
      </c>
      <c r="B95" s="639">
        <f>(B77)+(B94)</f>
        <v>548483.41999999993</v>
      </c>
    </row>
    <row r="96" spans="1:2" x14ac:dyDescent="0.75">
      <c r="A96" s="636" t="s">
        <v>351</v>
      </c>
      <c r="B96" s="637"/>
    </row>
    <row r="97" spans="1:2" x14ac:dyDescent="0.75">
      <c r="A97" s="636" t="s">
        <v>352</v>
      </c>
      <c r="B97" s="637"/>
    </row>
    <row r="98" spans="1:2" x14ac:dyDescent="0.75">
      <c r="A98" s="636" t="s">
        <v>353</v>
      </c>
      <c r="B98" s="637"/>
    </row>
    <row r="99" spans="1:2" x14ac:dyDescent="0.75">
      <c r="A99" s="636" t="s">
        <v>354</v>
      </c>
      <c r="B99" s="639">
        <f>(B97)+(B98)</f>
        <v>0</v>
      </c>
    </row>
    <row r="100" spans="1:2" x14ac:dyDescent="0.75">
      <c r="A100" s="636" t="s">
        <v>246</v>
      </c>
      <c r="B100" s="638">
        <f>617292.16</f>
        <v>617292.16</v>
      </c>
    </row>
    <row r="101" spans="1:2" x14ac:dyDescent="0.75">
      <c r="A101" s="636" t="s">
        <v>247</v>
      </c>
      <c r="B101" s="639">
        <f>(B99)+(B100)</f>
        <v>617292.16</v>
      </c>
    </row>
    <row r="102" spans="1:2" x14ac:dyDescent="0.75">
      <c r="A102" s="636" t="s">
        <v>32</v>
      </c>
      <c r="B102" s="639">
        <f>(B95)+(B101)</f>
        <v>1165775.58</v>
      </c>
    </row>
    <row r="103" spans="1:2" x14ac:dyDescent="0.75">
      <c r="A103" s="636" t="s">
        <v>33</v>
      </c>
      <c r="B103" s="637"/>
    </row>
    <row r="104" spans="1:2" x14ac:dyDescent="0.75">
      <c r="A104" s="636" t="s">
        <v>355</v>
      </c>
      <c r="B104" s="637"/>
    </row>
    <row r="105" spans="1:2" x14ac:dyDescent="0.75">
      <c r="A105" s="636" t="s">
        <v>356</v>
      </c>
      <c r="B105" s="637"/>
    </row>
    <row r="106" spans="1:2" x14ac:dyDescent="0.75">
      <c r="A106" s="636" t="s">
        <v>357</v>
      </c>
      <c r="B106" s="637"/>
    </row>
    <row r="107" spans="1:2" x14ac:dyDescent="0.75">
      <c r="A107" s="636" t="s">
        <v>37</v>
      </c>
      <c r="B107" s="638">
        <f>413161.24</f>
        <v>413161.24</v>
      </c>
    </row>
    <row r="108" spans="1:2" x14ac:dyDescent="0.75">
      <c r="A108" s="636" t="s">
        <v>100</v>
      </c>
      <c r="B108" s="638">
        <f>-211085.33</f>
        <v>-211085.33</v>
      </c>
    </row>
    <row r="109" spans="1:2" x14ac:dyDescent="0.75">
      <c r="A109" s="636" t="s">
        <v>34</v>
      </c>
      <c r="B109" s="639">
        <f>((((B104)+(B105))+(B106))+(B107))+(B108)</f>
        <v>202075.91</v>
      </c>
    </row>
    <row r="110" spans="1:2" x14ac:dyDescent="0.75">
      <c r="A110" s="636" t="s">
        <v>35</v>
      </c>
      <c r="B110" s="639">
        <f>(B102)+(B109)</f>
        <v>1367851.49</v>
      </c>
    </row>
    <row r="111" spans="1:2" x14ac:dyDescent="0.75">
      <c r="A111" s="636"/>
      <c r="B111" s="637"/>
    </row>
    <row r="114" spans="1:2" x14ac:dyDescent="0.75">
      <c r="A114" s="752" t="s">
        <v>869</v>
      </c>
      <c r="B114" s="750"/>
    </row>
  </sheetData>
  <mergeCells count="4">
    <mergeCell ref="A1:B1"/>
    <mergeCell ref="A2:B2"/>
    <mergeCell ref="A3:B3"/>
    <mergeCell ref="A114:B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-0.249977111117893"/>
    <pageSetUpPr fitToPage="1"/>
  </sheetPr>
  <dimension ref="A1:L43"/>
  <sheetViews>
    <sheetView zoomScale="90" zoomScaleNormal="90" workbookViewId="0">
      <selection activeCell="D19" sqref="D19"/>
    </sheetView>
  </sheetViews>
  <sheetFormatPr defaultColWidth="8.81640625" defaultRowHeight="15.75" x14ac:dyDescent="0.75"/>
  <cols>
    <col min="1" max="1" width="46.5" style="438" customWidth="1" collapsed="1"/>
    <col min="2" max="2" width="1.5" style="439" customWidth="1"/>
    <col min="3" max="3" width="15" style="440" customWidth="1"/>
    <col min="4" max="4" width="18.1796875" style="440" bestFit="1" customWidth="1"/>
    <col min="5" max="5" width="13.81640625" style="440" customWidth="1"/>
    <col min="6" max="6" width="1.5" style="441" customWidth="1"/>
    <col min="7" max="7" width="14.1796875" style="440" customWidth="1"/>
    <col min="8" max="8" width="16.5" style="440" customWidth="1"/>
    <col min="9" max="9" width="1.5" style="442" customWidth="1"/>
    <col min="10" max="10" width="55" style="443" hidden="1" customWidth="1"/>
    <col min="11" max="16384" width="8.81640625" style="410"/>
  </cols>
  <sheetData>
    <row r="1" spans="1:12" ht="27.75" x14ac:dyDescent="0.6">
      <c r="A1" s="756" t="s">
        <v>104</v>
      </c>
      <c r="B1" s="757"/>
      <c r="C1" s="757"/>
      <c r="D1" s="757"/>
      <c r="E1" s="757"/>
      <c r="F1" s="757"/>
      <c r="G1" s="757"/>
      <c r="H1" s="758"/>
      <c r="I1" s="428"/>
      <c r="J1" s="429"/>
    </row>
    <row r="2" spans="1:12" ht="22.75" x14ac:dyDescent="0.75">
      <c r="A2" s="759" t="s">
        <v>776</v>
      </c>
      <c r="B2" s="760"/>
      <c r="C2" s="760"/>
      <c r="D2" s="760"/>
      <c r="E2" s="760"/>
      <c r="F2" s="760"/>
      <c r="G2" s="760"/>
      <c r="H2" s="761"/>
      <c r="I2" s="430"/>
      <c r="J2" s="431"/>
    </row>
    <row r="3" spans="1:12" ht="32.25" customHeight="1" thickBot="1" x14ac:dyDescent="0.9">
      <c r="A3" s="746">
        <f>Indicators!B3</f>
        <v>43890</v>
      </c>
      <c r="B3" s="747"/>
      <c r="C3" s="747"/>
      <c r="D3" s="747"/>
      <c r="E3" s="747"/>
      <c r="F3" s="747"/>
      <c r="G3" s="747"/>
      <c r="H3" s="748"/>
      <c r="I3" s="432"/>
      <c r="J3" s="433"/>
    </row>
    <row r="4" spans="1:12" x14ac:dyDescent="0.75">
      <c r="A4" s="471"/>
      <c r="B4" s="435"/>
      <c r="C4" s="434"/>
      <c r="D4" s="434"/>
      <c r="E4" s="434"/>
      <c r="F4" s="436"/>
      <c r="G4" s="434"/>
      <c r="H4" s="472"/>
      <c r="I4" s="436"/>
      <c r="J4" s="437"/>
    </row>
    <row r="5" spans="1:12" s="449" customFormat="1" ht="13.75" thickBot="1" x14ac:dyDescent="0.75">
      <c r="A5" s="473"/>
      <c r="B5" s="444"/>
      <c r="C5" s="753">
        <f>A3</f>
        <v>43890</v>
      </c>
      <c r="D5" s="753"/>
      <c r="E5" s="753"/>
      <c r="F5" s="445"/>
      <c r="G5" s="754" t="s">
        <v>2</v>
      </c>
      <c r="H5" s="755"/>
      <c r="I5" s="447"/>
      <c r="J5" s="448"/>
    </row>
    <row r="6" spans="1:12" s="449" customFormat="1" ht="28.5" customHeight="1" thickBot="1" x14ac:dyDescent="0.75">
      <c r="A6" s="474"/>
      <c r="B6" s="450"/>
      <c r="C6" s="451" t="s">
        <v>773</v>
      </c>
      <c r="D6" s="451" t="s">
        <v>774</v>
      </c>
      <c r="E6" s="451" t="s">
        <v>5</v>
      </c>
      <c r="F6" s="452"/>
      <c r="G6" s="446" t="s">
        <v>772</v>
      </c>
      <c r="H6" s="475" t="s">
        <v>874</v>
      </c>
      <c r="I6" s="453"/>
      <c r="J6" s="454" t="s">
        <v>14</v>
      </c>
      <c r="L6" s="635"/>
    </row>
    <row r="7" spans="1:12" s="449" customFormat="1" ht="13" x14ac:dyDescent="0.6">
      <c r="A7" s="476" t="s">
        <v>10</v>
      </c>
      <c r="B7" s="455"/>
      <c r="C7" s="456"/>
      <c r="D7" s="456"/>
      <c r="E7" s="456"/>
      <c r="F7" s="457"/>
      <c r="G7" s="456"/>
      <c r="H7" s="477"/>
      <c r="I7" s="457"/>
      <c r="J7" s="458"/>
    </row>
    <row r="8" spans="1:12" s="449" customFormat="1" ht="13" x14ac:dyDescent="0.6">
      <c r="A8" s="476" t="s">
        <v>248</v>
      </c>
      <c r="B8" s="455"/>
      <c r="C8" s="459">
        <f>'Budget Vs. Actuals Detail'!F31</f>
        <v>1683476.74</v>
      </c>
      <c r="D8" s="459">
        <f>('Budget Vs. Actuals Detail'!H31/12)*8</f>
        <v>1709377.8666666669</v>
      </c>
      <c r="E8" s="459">
        <f>C8-D8</f>
        <v>-25901.12666666694</v>
      </c>
      <c r="F8" s="460"/>
      <c r="G8" s="470">
        <f>'Budget Vs. Actuals Detail'!H31</f>
        <v>2564066.8000000003</v>
      </c>
      <c r="H8" s="478">
        <f>C8/G8</f>
        <v>0.65656508636982458</v>
      </c>
      <c r="I8" s="457"/>
      <c r="J8" s="458"/>
    </row>
    <row r="9" spans="1:12" s="449" customFormat="1" ht="13" x14ac:dyDescent="0.6">
      <c r="A9" s="476" t="s">
        <v>64</v>
      </c>
      <c r="B9" s="455"/>
      <c r="C9" s="459">
        <f>'Budget Vs. Actuals Detail'!F40</f>
        <v>273969.44</v>
      </c>
      <c r="D9" s="459">
        <f>('Budget Vs. Actuals Detail'!H40/12)*8</f>
        <v>298108.66666666669</v>
      </c>
      <c r="E9" s="459">
        <f>C9-D9</f>
        <v>-24139.226666666684</v>
      </c>
      <c r="F9" s="460"/>
      <c r="G9" s="459">
        <f>'Budget Vs. Actuals Detail'!H40</f>
        <v>447163</v>
      </c>
      <c r="H9" s="478">
        <f t="shared" ref="H9:H11" si="0">C9/G9</f>
        <v>0.612683607543558</v>
      </c>
      <c r="I9" s="457"/>
      <c r="J9" s="461"/>
    </row>
    <row r="10" spans="1:12" s="449" customFormat="1" ht="13" x14ac:dyDescent="0.6">
      <c r="A10" s="476" t="s">
        <v>66</v>
      </c>
      <c r="B10" s="455"/>
      <c r="C10" s="459">
        <f>'Budget Vs. Actuals Detail'!F44</f>
        <v>11667.06</v>
      </c>
      <c r="D10" s="459">
        <f>('Budget Vs. Actuals Detail'!H44/12)*8</f>
        <v>10000</v>
      </c>
      <c r="E10" s="459">
        <f>C10-D10</f>
        <v>1667.0599999999995</v>
      </c>
      <c r="F10" s="460"/>
      <c r="G10" s="459">
        <f>'Budget Vs. Actuals Detail'!H44</f>
        <v>15000</v>
      </c>
      <c r="H10" s="478">
        <f t="shared" si="0"/>
        <v>0.77780399999999994</v>
      </c>
      <c r="I10" s="457"/>
      <c r="J10" s="461"/>
    </row>
    <row r="11" spans="1:12" s="449" customFormat="1" ht="13" x14ac:dyDescent="0.6">
      <c r="A11" s="479" t="s">
        <v>11</v>
      </c>
      <c r="B11" s="462"/>
      <c r="C11" s="463">
        <f>SUM(C8:C10)</f>
        <v>1969113.24</v>
      </c>
      <c r="D11" s="463">
        <f>SUM(D8:D10)</f>
        <v>2017486.5333333337</v>
      </c>
      <c r="E11" s="463">
        <f>C11-D11</f>
        <v>-48373.293333333684</v>
      </c>
      <c r="F11" s="460"/>
      <c r="G11" s="463">
        <f>SUM(G8:G10)</f>
        <v>3026229.8000000003</v>
      </c>
      <c r="H11" s="480">
        <f t="shared" si="0"/>
        <v>0.65068199381289549</v>
      </c>
      <c r="I11" s="457"/>
      <c r="J11" s="461"/>
      <c r="L11" s="635"/>
    </row>
    <row r="12" spans="1:12" s="449" customFormat="1" ht="13" x14ac:dyDescent="0.6">
      <c r="A12" s="476"/>
      <c r="B12" s="455"/>
      <c r="C12" s="459"/>
      <c r="D12" s="459"/>
      <c r="E12" s="459"/>
      <c r="F12" s="460"/>
      <c r="G12" s="459"/>
      <c r="H12" s="481"/>
      <c r="I12" s="457"/>
      <c r="J12" s="461"/>
    </row>
    <row r="13" spans="1:12" s="449" customFormat="1" ht="13" x14ac:dyDescent="0.6">
      <c r="A13" s="476" t="s">
        <v>12</v>
      </c>
      <c r="B13" s="455"/>
      <c r="C13" s="459"/>
      <c r="D13" s="459"/>
      <c r="E13" s="459"/>
      <c r="F13" s="460"/>
      <c r="G13" s="532"/>
      <c r="H13" s="482"/>
      <c r="I13" s="457"/>
      <c r="J13" s="461"/>
    </row>
    <row r="14" spans="1:12" s="449" customFormat="1" ht="13" x14ac:dyDescent="0.6">
      <c r="A14" s="483" t="s">
        <v>770</v>
      </c>
      <c r="B14" s="455"/>
      <c r="C14" s="459">
        <f>'Budget Vs. Actuals Detail'!F73</f>
        <v>228693.36000000002</v>
      </c>
      <c r="D14" s="459">
        <f>('Budget Vs. Actuals Detail'!H73/12)*8</f>
        <v>246533.33333333334</v>
      </c>
      <c r="E14" s="459">
        <f>D14-C14</f>
        <v>17839.973333333328</v>
      </c>
      <c r="F14" s="460"/>
      <c r="G14" s="459">
        <f>'Budget Vs. Actuals Detail'!H73</f>
        <v>369800</v>
      </c>
      <c r="H14" s="484">
        <f t="shared" ref="H14:H40" si="1">C14/G14</f>
        <v>0.61842444564629528</v>
      </c>
      <c r="I14" s="457"/>
      <c r="J14" s="461"/>
    </row>
    <row r="15" spans="1:12" s="449" customFormat="1" ht="13" x14ac:dyDescent="0.6">
      <c r="A15" s="483" t="s">
        <v>771</v>
      </c>
      <c r="B15" s="455"/>
      <c r="C15" s="459">
        <f>'Budget Vs. Actuals Detail'!F82</f>
        <v>398551.57</v>
      </c>
      <c r="D15" s="459">
        <f>('Budget Vs. Actuals Detail'!H82/12)*8</f>
        <v>467555.5533333334</v>
      </c>
      <c r="E15" s="459">
        <f t="shared" ref="E15:E40" si="2">D15-C15</f>
        <v>69003.983333333395</v>
      </c>
      <c r="F15" s="460"/>
      <c r="G15" s="459">
        <f>'Budget Vs. Actuals Detail'!H82</f>
        <v>701333.33000000007</v>
      </c>
      <c r="H15" s="484">
        <f t="shared" si="1"/>
        <v>0.56827695612298923</v>
      </c>
      <c r="I15" s="457"/>
      <c r="J15" s="461"/>
    </row>
    <row r="16" spans="1:12" s="449" customFormat="1" ht="13" x14ac:dyDescent="0.6">
      <c r="A16" s="483" t="s">
        <v>769</v>
      </c>
      <c r="B16" s="455"/>
      <c r="C16" s="459">
        <f>'Budget Vs. Actuals Detail'!F99</f>
        <v>57803.78</v>
      </c>
      <c r="D16" s="459">
        <f>('Budget Vs. Actuals Detail'!H99/12)*8</f>
        <v>62435.355363333329</v>
      </c>
      <c r="E16" s="459">
        <f t="shared" si="2"/>
        <v>4631.5753633333297</v>
      </c>
      <c r="F16" s="460"/>
      <c r="G16" s="459">
        <f>'Budget Vs. Actuals Detail'!H99</f>
        <v>93653.033044999989</v>
      </c>
      <c r="H16" s="484">
        <f t="shared" si="1"/>
        <v>0.61721204450714873</v>
      </c>
      <c r="I16" s="457"/>
      <c r="J16" s="461"/>
    </row>
    <row r="17" spans="1:10" s="449" customFormat="1" ht="13" x14ac:dyDescent="0.6">
      <c r="A17" s="476" t="s">
        <v>768</v>
      </c>
      <c r="B17" s="455"/>
      <c r="C17" s="459">
        <f>'Budget Vs. Actuals Detail'!F108</f>
        <v>65725.5</v>
      </c>
      <c r="D17" s="459">
        <f>('Budget Vs. Actuals Detail'!H108/12)*8</f>
        <v>75039.839333333322</v>
      </c>
      <c r="E17" s="459">
        <f t="shared" si="2"/>
        <v>9314.3393333333224</v>
      </c>
      <c r="F17" s="460"/>
      <c r="G17" s="459">
        <f>'Budget Vs. Actuals Detail'!H108</f>
        <v>112559.75899999999</v>
      </c>
      <c r="H17" s="484">
        <f t="shared" si="1"/>
        <v>0.58391649541467128</v>
      </c>
      <c r="I17" s="457"/>
      <c r="J17" s="461"/>
    </row>
    <row r="18" spans="1:10" s="449" customFormat="1" ht="13" x14ac:dyDescent="0.6">
      <c r="A18" s="483" t="s">
        <v>74</v>
      </c>
      <c r="B18" s="455"/>
      <c r="C18" s="459">
        <f>'Budget Vs. Actuals Detail'!F130</f>
        <v>79448.899999999994</v>
      </c>
      <c r="D18" s="459">
        <f>('Budget Vs. Actuals Detail'!H130/12)*8</f>
        <v>105560</v>
      </c>
      <c r="E18" s="459">
        <f t="shared" si="2"/>
        <v>26111.100000000006</v>
      </c>
      <c r="F18" s="460"/>
      <c r="G18" s="459">
        <f>'Budget Vs. Actuals Detail'!H130</f>
        <v>158340</v>
      </c>
      <c r="H18" s="484">
        <f t="shared" si="1"/>
        <v>0.50176139952002019</v>
      </c>
      <c r="I18" s="457"/>
      <c r="J18" s="461"/>
    </row>
    <row r="19" spans="1:10" s="449" customFormat="1" ht="13" x14ac:dyDescent="0.6">
      <c r="A19" s="483" t="s">
        <v>76</v>
      </c>
      <c r="B19" s="455"/>
      <c r="C19" s="459">
        <f>'Budget Vs. Actuals Detail'!F134</f>
        <v>5269.17</v>
      </c>
      <c r="D19" s="459">
        <f>('Budget Vs. Actuals Detail'!H134/12)*8</f>
        <v>5666.666666666667</v>
      </c>
      <c r="E19" s="459">
        <f t="shared" si="2"/>
        <v>397.4966666666669</v>
      </c>
      <c r="F19" s="460"/>
      <c r="G19" s="459">
        <f>'Budget Vs. Actuals Detail'!H134</f>
        <v>8500</v>
      </c>
      <c r="H19" s="484">
        <f t="shared" si="1"/>
        <v>0.61990235294117646</v>
      </c>
      <c r="I19" s="457"/>
      <c r="J19" s="461"/>
    </row>
    <row r="20" spans="1:10" s="449" customFormat="1" ht="13" x14ac:dyDescent="0.6">
      <c r="A20" s="483" t="s">
        <v>168</v>
      </c>
      <c r="B20" s="455"/>
      <c r="C20" s="459">
        <f>'Budget Vs. Actuals Detail'!F143</f>
        <v>34092.819999999992</v>
      </c>
      <c r="D20" s="459">
        <f>(('Budget Vs. Actuals Detail'!H143/12)*8)</f>
        <v>29698.399999999998</v>
      </c>
      <c r="E20" s="459">
        <f t="shared" si="2"/>
        <v>-4394.4199999999946</v>
      </c>
      <c r="F20" s="460"/>
      <c r="G20" s="459">
        <f>'Budget Vs. Actuals Detail'!H143</f>
        <v>44547.6</v>
      </c>
      <c r="H20" s="484">
        <f t="shared" si="1"/>
        <v>0.76531216047553619</v>
      </c>
      <c r="I20" s="457"/>
      <c r="J20" s="461"/>
    </row>
    <row r="21" spans="1:10" s="449" customFormat="1" ht="13" x14ac:dyDescent="0.6">
      <c r="A21" s="483" t="s">
        <v>460</v>
      </c>
      <c r="B21" s="455"/>
      <c r="C21" s="459">
        <f>'Budget Vs. Actuals Detail'!F146</f>
        <v>0</v>
      </c>
      <c r="D21" s="459">
        <f>('Budget Vs. Actuals Detail'!H146/12)*8</f>
        <v>1600</v>
      </c>
      <c r="E21" s="459">
        <f t="shared" si="2"/>
        <v>1600</v>
      </c>
      <c r="F21" s="460"/>
      <c r="G21" s="459">
        <f>'Budget Vs. Actuals Detail'!H146</f>
        <v>2400</v>
      </c>
      <c r="H21" s="484">
        <f t="shared" si="1"/>
        <v>0</v>
      </c>
      <c r="I21" s="457"/>
      <c r="J21" s="461"/>
    </row>
    <row r="22" spans="1:10" s="449" customFormat="1" ht="13" x14ac:dyDescent="0.6">
      <c r="A22" s="483" t="s">
        <v>271</v>
      </c>
      <c r="B22" s="455"/>
      <c r="C22" s="459">
        <f>'Budget Vs. Actuals Detail'!F152</f>
        <v>24234.589999999997</v>
      </c>
      <c r="D22" s="459">
        <f>('Budget Vs. Actuals Detail'!H152/12)*8</f>
        <v>29326.666666666668</v>
      </c>
      <c r="E22" s="459">
        <f t="shared" si="2"/>
        <v>5092.0766666666714</v>
      </c>
      <c r="F22" s="460"/>
      <c r="G22" s="459">
        <f>'Budget Vs. Actuals Detail'!H152</f>
        <v>43990</v>
      </c>
      <c r="H22" s="484">
        <f t="shared" si="1"/>
        <v>0.55091134348715609</v>
      </c>
      <c r="I22" s="457"/>
      <c r="J22" s="461"/>
    </row>
    <row r="23" spans="1:10" s="449" customFormat="1" ht="13" x14ac:dyDescent="0.6">
      <c r="A23" s="483" t="s">
        <v>276</v>
      </c>
      <c r="B23" s="455"/>
      <c r="C23" s="459">
        <f>'Budget Vs. Actuals Detail'!F157</f>
        <v>2841.21</v>
      </c>
      <c r="D23" s="459">
        <f>('Budget Vs. Actuals Detail'!H157/12)*8</f>
        <v>9000</v>
      </c>
      <c r="E23" s="459">
        <f t="shared" si="2"/>
        <v>6158.79</v>
      </c>
      <c r="F23" s="460"/>
      <c r="G23" s="459">
        <f>'Budget Vs. Actuals Detail'!H157</f>
        <v>13500</v>
      </c>
      <c r="H23" s="484">
        <f t="shared" si="1"/>
        <v>0.21046000000000001</v>
      </c>
      <c r="I23" s="457"/>
      <c r="J23" s="461"/>
    </row>
    <row r="24" spans="1:10" s="449" customFormat="1" ht="13" x14ac:dyDescent="0.6">
      <c r="A24" s="712" t="s">
        <v>163</v>
      </c>
      <c r="B24" s="713"/>
      <c r="C24" s="714">
        <f>'Budget Vs. Actuals Detail'!F164</f>
        <v>24415.35</v>
      </c>
      <c r="D24" s="714">
        <f>('Budget Vs. Actuals Detail'!H164/12)*8</f>
        <v>15541.333333333334</v>
      </c>
      <c r="E24" s="714">
        <f t="shared" si="2"/>
        <v>-8874.0166666666646</v>
      </c>
      <c r="F24" s="715"/>
      <c r="G24" s="714">
        <f>'Budget Vs. Actuals Detail'!H164</f>
        <v>23312</v>
      </c>
      <c r="H24" s="689">
        <f t="shared" si="1"/>
        <v>1.0473297014413177</v>
      </c>
      <c r="I24" s="457"/>
      <c r="J24" s="461"/>
    </row>
    <row r="25" spans="1:10" s="449" customFormat="1" ht="13" x14ac:dyDescent="0.6">
      <c r="A25" s="483" t="s">
        <v>277</v>
      </c>
      <c r="B25" s="455"/>
      <c r="C25" s="459">
        <f>'Budget Vs. Actuals Detail'!F168</f>
        <v>5517.49</v>
      </c>
      <c r="D25" s="459">
        <f>('Budget Vs. Actuals Detail'!H168/12)*8</f>
        <v>5661.333333333333</v>
      </c>
      <c r="E25" s="459">
        <f t="shared" si="2"/>
        <v>143.84333333333325</v>
      </c>
      <c r="F25" s="460"/>
      <c r="G25" s="459">
        <f>'Budget Vs. Actuals Detail'!H168</f>
        <v>8492</v>
      </c>
      <c r="H25" s="484">
        <f t="shared" si="1"/>
        <v>0.64972797927461134</v>
      </c>
      <c r="I25" s="457"/>
      <c r="J25" s="461"/>
    </row>
    <row r="26" spans="1:10" s="449" customFormat="1" ht="13" x14ac:dyDescent="0.6">
      <c r="A26" s="483" t="s">
        <v>79</v>
      </c>
      <c r="B26" s="455"/>
      <c r="C26" s="459">
        <f>'Budget Vs. Actuals Detail'!F175</f>
        <v>50165.779999999992</v>
      </c>
      <c r="D26" s="459">
        <f>('Budget Vs. Actuals Detail'!H175/12)*8</f>
        <v>55200</v>
      </c>
      <c r="E26" s="459">
        <f t="shared" si="2"/>
        <v>5034.2200000000084</v>
      </c>
      <c r="F26" s="460"/>
      <c r="G26" s="459">
        <f>'Budget Vs. Actuals Detail'!H175</f>
        <v>82800</v>
      </c>
      <c r="H26" s="484">
        <f t="shared" si="1"/>
        <v>0.60586690821256028</v>
      </c>
      <c r="I26" s="457"/>
      <c r="J26" s="461"/>
    </row>
    <row r="27" spans="1:10" s="449" customFormat="1" ht="13" x14ac:dyDescent="0.6">
      <c r="A27" s="483" t="s">
        <v>473</v>
      </c>
      <c r="B27" s="455"/>
      <c r="C27" s="459">
        <f>'Budget Vs. Actuals Detail'!F178</f>
        <v>29602.82</v>
      </c>
      <c r="D27" s="459">
        <f>('Budget Vs. Actuals Detail'!H178/12)*8</f>
        <v>22666.666666666668</v>
      </c>
      <c r="E27" s="459">
        <f t="shared" si="2"/>
        <v>-6936.1533333333318</v>
      </c>
      <c r="F27" s="460"/>
      <c r="G27" s="459">
        <f>'Budget Vs. Actuals Detail'!H178</f>
        <v>34000</v>
      </c>
      <c r="H27" s="484">
        <f t="shared" si="1"/>
        <v>0.87067117647058823</v>
      </c>
      <c r="I27" s="457"/>
      <c r="J27" s="461"/>
    </row>
    <row r="28" spans="1:10" s="449" customFormat="1" ht="13" x14ac:dyDescent="0.6">
      <c r="A28" s="483" t="s">
        <v>478</v>
      </c>
      <c r="B28" s="455"/>
      <c r="C28" s="459">
        <f>'Budget Vs. Actuals Detail'!F182</f>
        <v>0</v>
      </c>
      <c r="D28" s="459">
        <f>('Budget Vs. Actuals Detail'!H182/12)*8</f>
        <v>3333.3333333333335</v>
      </c>
      <c r="E28" s="459">
        <f t="shared" si="2"/>
        <v>3333.3333333333335</v>
      </c>
      <c r="F28" s="460"/>
      <c r="G28" s="459">
        <f>'Budget Vs. Actuals Detail'!H182</f>
        <v>5000</v>
      </c>
      <c r="H28" s="484">
        <f t="shared" si="1"/>
        <v>0</v>
      </c>
      <c r="I28" s="457"/>
      <c r="J28" s="461"/>
    </row>
    <row r="29" spans="1:10" s="449" customFormat="1" ht="13" x14ac:dyDescent="0.6">
      <c r="A29" s="483" t="s">
        <v>204</v>
      </c>
      <c r="B29" s="455"/>
      <c r="C29" s="459">
        <f>'Budget Vs. Actuals Detail'!F186</f>
        <v>2312.9</v>
      </c>
      <c r="D29" s="459">
        <f>('Budget Vs. Actuals Detail'!H186/12)*8</f>
        <v>2000</v>
      </c>
      <c r="E29" s="459">
        <f>D29-C29</f>
        <v>-312.90000000000009</v>
      </c>
      <c r="F29" s="460"/>
      <c r="G29" s="459">
        <f>'Budget Vs. Actuals Detail'!H186</f>
        <v>3000</v>
      </c>
      <c r="H29" s="484">
        <f t="shared" si="1"/>
        <v>0.77096666666666669</v>
      </c>
      <c r="I29" s="457"/>
      <c r="J29" s="461"/>
    </row>
    <row r="30" spans="1:10" s="449" customFormat="1" ht="13" x14ac:dyDescent="0.6">
      <c r="A30" s="483" t="s">
        <v>82</v>
      </c>
      <c r="B30" s="455"/>
      <c r="C30" s="459">
        <f>'Budget Vs. Actuals Detail'!F190</f>
        <v>13619.49</v>
      </c>
      <c r="D30" s="459">
        <f>('Budget Vs. Actuals Detail'!H190/12)*8</f>
        <v>18493.333333333332</v>
      </c>
      <c r="E30" s="459">
        <f t="shared" si="2"/>
        <v>4873.8433333333323</v>
      </c>
      <c r="F30" s="460"/>
      <c r="G30" s="459">
        <f>'Budget Vs. Actuals Detail'!H190</f>
        <v>27740</v>
      </c>
      <c r="H30" s="484">
        <f t="shared" si="1"/>
        <v>0.49096935832732513</v>
      </c>
      <c r="I30" s="457"/>
      <c r="J30" s="461"/>
    </row>
    <row r="31" spans="1:10" s="449" customFormat="1" ht="13" x14ac:dyDescent="0.6">
      <c r="A31" s="483" t="s">
        <v>85</v>
      </c>
      <c r="B31" s="455"/>
      <c r="C31" s="459">
        <f>'Budget Vs. Actuals Detail'!F195</f>
        <v>10468.150000000001</v>
      </c>
      <c r="D31" s="459">
        <f>('Budget Vs. Actuals Detail'!H195/12)*8</f>
        <v>24000</v>
      </c>
      <c r="E31" s="459">
        <f t="shared" si="2"/>
        <v>13531.849999999999</v>
      </c>
      <c r="F31" s="460"/>
      <c r="G31" s="459">
        <f>'Budget Vs. Actuals Detail'!H195</f>
        <v>36000</v>
      </c>
      <c r="H31" s="484">
        <f t="shared" si="1"/>
        <v>0.2907819444444445</v>
      </c>
      <c r="I31" s="457"/>
      <c r="J31" s="461"/>
    </row>
    <row r="32" spans="1:10" s="449" customFormat="1" ht="13" x14ac:dyDescent="0.6">
      <c r="A32" s="712" t="s">
        <v>87</v>
      </c>
      <c r="B32" s="713"/>
      <c r="C32" s="714">
        <f>'Budget Vs. Actuals Detail'!F197</f>
        <v>2992.8</v>
      </c>
      <c r="D32" s="714">
        <f>('Budget Vs. Actuals Detail'!H198/12)*8</f>
        <v>2000</v>
      </c>
      <c r="E32" s="714">
        <f t="shared" si="2"/>
        <v>-992.80000000000018</v>
      </c>
      <c r="F32" s="715"/>
      <c r="G32" s="714">
        <f>'Budget Vs. Actuals Detail'!H198</f>
        <v>3000</v>
      </c>
      <c r="H32" s="689">
        <f t="shared" si="1"/>
        <v>0.99760000000000004</v>
      </c>
      <c r="I32" s="457"/>
      <c r="J32" s="461"/>
    </row>
    <row r="33" spans="1:10" s="449" customFormat="1" ht="13" x14ac:dyDescent="0.6">
      <c r="A33" s="712" t="s">
        <v>90</v>
      </c>
      <c r="B33" s="713"/>
      <c r="C33" s="714">
        <f>'Budget Vs. Actuals Detail'!F201</f>
        <v>20589.78</v>
      </c>
      <c r="D33" s="714">
        <f>('Budget Vs. Actuals Detail'!H201/12)*8</f>
        <v>12040</v>
      </c>
      <c r="E33" s="714">
        <f t="shared" si="2"/>
        <v>-8549.7799999999988</v>
      </c>
      <c r="F33" s="715"/>
      <c r="G33" s="714">
        <f>'Budget Vs. Actuals Detail'!H201</f>
        <v>18060</v>
      </c>
      <c r="H33" s="689">
        <f t="shared" si="1"/>
        <v>1.1400764119601328</v>
      </c>
      <c r="I33" s="457"/>
      <c r="J33" s="461"/>
    </row>
    <row r="34" spans="1:10" s="449" customFormat="1" ht="13" x14ac:dyDescent="0.6">
      <c r="A34" s="483" t="s">
        <v>483</v>
      </c>
      <c r="B34" s="455"/>
      <c r="C34" s="459">
        <f>'Budget Vs. Actuals Detail'!F204</f>
        <v>1213.8499999999999</v>
      </c>
      <c r="D34" s="459">
        <f>('Budget Vs. Actuals Detail'!H204/12)*8</f>
        <v>5333.333333333333</v>
      </c>
      <c r="E34" s="459">
        <f t="shared" si="2"/>
        <v>4119.4833333333336</v>
      </c>
      <c r="F34" s="460"/>
      <c r="G34" s="459">
        <f>'Budget Vs. Actuals Detail'!H204</f>
        <v>8000</v>
      </c>
      <c r="H34" s="484">
        <f t="shared" si="1"/>
        <v>0.15173124999999998</v>
      </c>
      <c r="I34" s="457"/>
      <c r="J34" s="461"/>
    </row>
    <row r="35" spans="1:10" s="449" customFormat="1" ht="13" x14ac:dyDescent="0.6">
      <c r="A35" s="476" t="s">
        <v>121</v>
      </c>
      <c r="B35" s="455"/>
      <c r="C35" s="459">
        <f>'Budget Vs. Actuals Detail'!F208</f>
        <v>3523.88</v>
      </c>
      <c r="D35" s="459">
        <f>('Budget Vs. Actuals Detail'!H208/12)*8</f>
        <v>3666.6666666666665</v>
      </c>
      <c r="E35" s="459">
        <f t="shared" si="2"/>
        <v>142.78666666666641</v>
      </c>
      <c r="F35" s="460"/>
      <c r="G35" s="459">
        <f>'Budget Vs. Actuals Detail'!H208</f>
        <v>5500</v>
      </c>
      <c r="H35" s="484">
        <f t="shared" si="1"/>
        <v>0.64070545454545458</v>
      </c>
      <c r="I35" s="457"/>
      <c r="J35" s="461"/>
    </row>
    <row r="36" spans="1:10" s="449" customFormat="1" ht="13" x14ac:dyDescent="0.6">
      <c r="A36" s="476" t="s">
        <v>486</v>
      </c>
      <c r="B36" s="455"/>
      <c r="C36" s="459">
        <f>'Budget Vs. Actuals Detail'!F211</f>
        <v>1354.36</v>
      </c>
      <c r="D36" s="459">
        <f>('Budget Vs. Actuals Detail'!H211/12)*8</f>
        <v>2666.6666666666665</v>
      </c>
      <c r="E36" s="459">
        <f t="shared" si="2"/>
        <v>1312.3066666666666</v>
      </c>
      <c r="F36" s="460"/>
      <c r="G36" s="459">
        <f>'Budget Vs. Actuals Detail'!H211</f>
        <v>4000</v>
      </c>
      <c r="H36" s="484">
        <f t="shared" si="1"/>
        <v>0.33859</v>
      </c>
      <c r="I36" s="457"/>
      <c r="J36" s="461"/>
    </row>
    <row r="37" spans="1:10" s="449" customFormat="1" ht="13" x14ac:dyDescent="0.6">
      <c r="A37" s="483" t="s">
        <v>93</v>
      </c>
      <c r="B37" s="455"/>
      <c r="C37" s="459">
        <f>'Budget Vs. Actuals Detail'!F218</f>
        <v>438.76</v>
      </c>
      <c r="D37" s="459">
        <f>('Budget Vs. Actuals Detail'!H218/12)*8</f>
        <v>800</v>
      </c>
      <c r="E37" s="459">
        <f t="shared" si="2"/>
        <v>361.24</v>
      </c>
      <c r="F37" s="460"/>
      <c r="G37" s="459">
        <f>'Budget Vs. Actuals Detail'!H218</f>
        <v>1200</v>
      </c>
      <c r="H37" s="484">
        <f t="shared" si="1"/>
        <v>0.36563333333333331</v>
      </c>
      <c r="I37" s="457"/>
      <c r="J37" s="461"/>
    </row>
    <row r="38" spans="1:10" s="449" customFormat="1" ht="13" x14ac:dyDescent="0.6">
      <c r="A38" s="483" t="s">
        <v>96</v>
      </c>
      <c r="B38" s="455"/>
      <c r="C38" s="459">
        <f>'Budget Vs. Actuals Detail'!F222</f>
        <v>19890.78</v>
      </c>
      <c r="D38" s="459">
        <f>('Budget Vs. Actuals Detail'!H222/12)*8</f>
        <v>26314</v>
      </c>
      <c r="E38" s="459">
        <f t="shared" si="2"/>
        <v>6423.2200000000012</v>
      </c>
      <c r="F38" s="460"/>
      <c r="G38" s="459">
        <f>'Budget Vs. Actuals Detail'!H222</f>
        <v>39471</v>
      </c>
      <c r="H38" s="484">
        <f t="shared" si="1"/>
        <v>0.50393402751387095</v>
      </c>
      <c r="I38" s="457"/>
      <c r="J38" s="461"/>
    </row>
    <row r="39" spans="1:10" s="449" customFormat="1" ht="13" x14ac:dyDescent="0.6">
      <c r="A39" s="476" t="s">
        <v>180</v>
      </c>
      <c r="B39" s="455"/>
      <c r="C39" s="459">
        <f>'Budget Vs. Actuals Detail'!F230</f>
        <v>1074222.9600000002</v>
      </c>
      <c r="D39" s="459">
        <f>('Budget Vs. Actuals Detail'!H230/12)*8</f>
        <v>1080006.8057599519</v>
      </c>
      <c r="E39" s="459">
        <f t="shared" si="2"/>
        <v>5783.8457599517424</v>
      </c>
      <c r="F39" s="460"/>
      <c r="G39" s="459">
        <f>'Budget Vs. Actuals Detail'!H230</f>
        <v>1620010.2086399279</v>
      </c>
      <c r="H39" s="484">
        <f t="shared" si="1"/>
        <v>0.66309641400461239</v>
      </c>
      <c r="I39" s="457"/>
      <c r="J39" s="461"/>
    </row>
    <row r="40" spans="1:10" s="449" customFormat="1" ht="13" x14ac:dyDescent="0.6">
      <c r="A40" s="476" t="s">
        <v>494</v>
      </c>
      <c r="B40" s="455"/>
      <c r="C40" s="459">
        <f>'Budget Vs. Actuals Detail'!F234</f>
        <v>23209</v>
      </c>
      <c r="D40" s="459">
        <f>('Budget Vs. Actuals Detail'!H234/12)*8</f>
        <v>57146.365079365081</v>
      </c>
      <c r="E40" s="459">
        <f t="shared" si="2"/>
        <v>33937.365079365081</v>
      </c>
      <c r="F40" s="460"/>
      <c r="G40" s="459">
        <f>'Budget Vs. Actuals Detail'!H234</f>
        <v>85719.547619047618</v>
      </c>
      <c r="H40" s="484">
        <f t="shared" si="1"/>
        <v>0.27075504531527372</v>
      </c>
      <c r="I40" s="457"/>
      <c r="J40" s="461"/>
    </row>
    <row r="41" spans="1:10" s="449" customFormat="1" ht="13" x14ac:dyDescent="0.6">
      <c r="A41" s="479" t="s">
        <v>13</v>
      </c>
      <c r="B41" s="462"/>
      <c r="C41" s="463">
        <f>SUM(C14:C40)</f>
        <v>2180199.0500000003</v>
      </c>
      <c r="D41" s="463">
        <f>SUM(D14:D40)</f>
        <v>2369285.6522026504</v>
      </c>
      <c r="E41" s="463">
        <f>SUM(E14:E40)</f>
        <v>189086.60220265025</v>
      </c>
      <c r="F41" s="460"/>
      <c r="G41" s="463">
        <f>SUM(G14:G40)</f>
        <v>3553928.4783039754</v>
      </c>
      <c r="H41" s="480">
        <f>C41/G41</f>
        <v>0.61346171238663938</v>
      </c>
      <c r="I41" s="457"/>
      <c r="J41" s="461"/>
    </row>
    <row r="42" spans="1:10" s="449" customFormat="1" ht="13" x14ac:dyDescent="0.6">
      <c r="A42" s="485" t="s">
        <v>38</v>
      </c>
      <c r="B42" s="486"/>
      <c r="C42" s="487">
        <f>C11-C41</f>
        <v>-211085.81000000029</v>
      </c>
      <c r="D42" s="487">
        <f>D11-D41</f>
        <v>-351799.11886931676</v>
      </c>
      <c r="E42" s="487">
        <f>E41-E11</f>
        <v>237459.89553598393</v>
      </c>
      <c r="F42" s="488"/>
      <c r="G42" s="487">
        <f>G11-G41</f>
        <v>-527698.67830397515</v>
      </c>
      <c r="H42" s="489"/>
      <c r="I42" s="457"/>
      <c r="J42" s="461"/>
    </row>
    <row r="43" spans="1:10" s="449" customFormat="1" ht="13" x14ac:dyDescent="0.6">
      <c r="A43" s="464"/>
      <c r="B43" s="465"/>
      <c r="C43" s="466"/>
      <c r="D43" s="466"/>
      <c r="E43" s="466"/>
      <c r="F43" s="467"/>
      <c r="G43" s="466"/>
      <c r="H43" s="466"/>
      <c r="I43" s="468"/>
      <c r="J43" s="469"/>
    </row>
  </sheetData>
  <mergeCells count="5">
    <mergeCell ref="C5:E5"/>
    <mergeCell ref="G5:H5"/>
    <mergeCell ref="A1:H1"/>
    <mergeCell ref="A2:H2"/>
    <mergeCell ref="A3:H3"/>
  </mergeCells>
  <conditionalFormatting sqref="C9:E13 C14:D23 C26:D34 G26:H34 G11:H23 E14:E40 C41:E41 G41:H42 G9:G10">
    <cfRule type="cellIs" dxfId="440" priority="29" operator="lessThan">
      <formula>0</formula>
    </cfRule>
  </conditionalFormatting>
  <conditionalFormatting sqref="C42:E42">
    <cfRule type="cellIs" dxfId="439" priority="32" operator="lessThan">
      <formula>0</formula>
    </cfRule>
  </conditionalFormatting>
  <conditionalFormatting sqref="C37:D40">
    <cfRule type="cellIs" dxfId="438" priority="20" operator="lessThan">
      <formula>0</formula>
    </cfRule>
  </conditionalFormatting>
  <conditionalFormatting sqref="G37:H40">
    <cfRule type="cellIs" dxfId="437" priority="18" operator="lessThan">
      <formula>0</formula>
    </cfRule>
  </conditionalFormatting>
  <conditionalFormatting sqref="C35:D36">
    <cfRule type="cellIs" dxfId="436" priority="10" operator="lessThan">
      <formula>0</formula>
    </cfRule>
  </conditionalFormatting>
  <conditionalFormatting sqref="G35:H36">
    <cfRule type="cellIs" dxfId="435" priority="8" operator="lessThan">
      <formula>0</formula>
    </cfRule>
  </conditionalFormatting>
  <conditionalFormatting sqref="C24:D25">
    <cfRule type="cellIs" dxfId="434" priority="6" operator="lessThan">
      <formula>0</formula>
    </cfRule>
  </conditionalFormatting>
  <conditionalFormatting sqref="G24:H25">
    <cfRule type="cellIs" dxfId="433" priority="4" operator="lessThan">
      <formula>0</formula>
    </cfRule>
  </conditionalFormatting>
  <conditionalFormatting sqref="C8">
    <cfRule type="cellIs" dxfId="432" priority="2" operator="lessThan">
      <formula>0</formula>
    </cfRule>
  </conditionalFormatting>
  <conditionalFormatting sqref="D8:E8">
    <cfRule type="cellIs" dxfId="431" priority="1" operator="lessThan">
      <formula>0</formula>
    </cfRule>
  </conditionalFormatting>
  <pageMargins left="0.5" right="0.5" top="0.5" bottom="0.5" header="0" footer="0"/>
  <pageSetup scale="89" orientation="landscape" r:id="rId1"/>
  <headerFooter>
    <oddFooter>&amp;C&amp;1#&amp;"arial"&amp;9&amp;K008000 C1 - Internal use</oddFooter>
  </headerFooter>
  <colBreaks count="1" manualBreakCount="1">
    <brk id="9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  <pageSetUpPr fitToPage="1"/>
  </sheetPr>
  <dimension ref="A1:AB279"/>
  <sheetViews>
    <sheetView tabSelected="1" zoomScale="90" zoomScaleNormal="90" workbookViewId="0">
      <pane xSplit="2" ySplit="6" topLeftCell="F7" activePane="bottomRight" state="frozen"/>
      <selection activeCell="D31" sqref="D31"/>
      <selection pane="topRight" activeCell="D31" sqref="D31"/>
      <selection pane="bottomLeft" activeCell="D31" sqref="D31"/>
      <selection pane="bottomRight" activeCell="AC157" sqref="AC157"/>
    </sheetView>
  </sheetViews>
  <sheetFormatPr defaultColWidth="8.81640625" defaultRowHeight="14.75" outlineLevelRow="1" outlineLevelCol="1" x14ac:dyDescent="0.75"/>
  <cols>
    <col min="1" max="1" width="1.5" style="149" customWidth="1"/>
    <col min="2" max="2" width="50.5" style="149" customWidth="1"/>
    <col min="3" max="4" width="21.1796875" style="149" hidden="1" customWidth="1"/>
    <col min="5" max="5" width="15.6796875" style="178" hidden="1" customWidth="1"/>
    <col min="6" max="6" width="16.5" style="149" customWidth="1"/>
    <col min="7" max="7" width="13.1796875" style="178" hidden="1" customWidth="1"/>
    <col min="8" max="8" width="13.5" style="178" customWidth="1"/>
    <col min="9" max="9" width="16.5" style="178" customWidth="1"/>
    <col min="10" max="10" width="16.5" style="178" hidden="1" customWidth="1"/>
    <col min="11" max="11" width="11.81640625" style="178" bestFit="1" customWidth="1"/>
    <col min="12" max="12" width="21.1796875" style="178" hidden="1" customWidth="1"/>
    <col min="13" max="14" width="14.5" style="149" hidden="1" customWidth="1" outlineLevel="1"/>
    <col min="15" max="17" width="14.6796875" style="149" hidden="1" customWidth="1" outlineLevel="1"/>
    <col min="18" max="18" width="0.5" style="149" hidden="1" customWidth="1" outlineLevel="1"/>
    <col min="19" max="19" width="104" style="149" hidden="1" customWidth="1" collapsed="1"/>
    <col min="20" max="20" width="8.81640625" style="149" hidden="1" customWidth="1"/>
    <col min="21" max="21" width="10" style="149" hidden="1" customWidth="1"/>
    <col min="22" max="22" width="2.5" style="149" hidden="1" customWidth="1"/>
    <col min="23" max="24" width="12" style="149" hidden="1" customWidth="1"/>
    <col min="25" max="25" width="0" style="149" hidden="1" customWidth="1"/>
    <col min="26" max="26" width="1.5" style="149" customWidth="1"/>
    <col min="27" max="27" width="11.1796875" style="149" bestFit="1" customWidth="1"/>
    <col min="28" max="16384" width="8.81640625" style="149"/>
  </cols>
  <sheetData>
    <row r="1" spans="1:28" s="400" customFormat="1" ht="27.5" customHeight="1" x14ac:dyDescent="0.75">
      <c r="A1" s="401"/>
      <c r="B1" s="762" t="s">
        <v>104</v>
      </c>
      <c r="C1" s="763"/>
      <c r="D1" s="763"/>
      <c r="E1" s="763"/>
      <c r="F1" s="763"/>
      <c r="G1" s="763"/>
      <c r="H1" s="763"/>
      <c r="I1" s="763"/>
      <c r="J1" s="763"/>
      <c r="K1" s="764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8" s="400" customFormat="1" ht="21" customHeight="1" x14ac:dyDescent="0.75">
      <c r="B2" s="765" t="s">
        <v>777</v>
      </c>
      <c r="C2" s="766"/>
      <c r="D2" s="766"/>
      <c r="E2" s="766"/>
      <c r="F2" s="766"/>
      <c r="G2" s="766"/>
      <c r="H2" s="766"/>
      <c r="I2" s="766"/>
      <c r="J2" s="766"/>
      <c r="K2" s="767"/>
    </row>
    <row r="3" spans="1:28" ht="18" thickBot="1" x14ac:dyDescent="0.9">
      <c r="B3" s="772">
        <f>Indicators!B3</f>
        <v>43890</v>
      </c>
      <c r="C3" s="773"/>
      <c r="D3" s="773"/>
      <c r="E3" s="773"/>
      <c r="F3" s="773"/>
      <c r="G3" s="773"/>
      <c r="H3" s="773"/>
      <c r="I3" s="773"/>
      <c r="J3" s="773"/>
      <c r="K3" s="774"/>
    </row>
    <row r="4" spans="1:28" ht="15.5" thickBot="1" x14ac:dyDescent="0.9">
      <c r="B4" s="179"/>
      <c r="K4" s="180"/>
    </row>
    <row r="5" spans="1:28" ht="15.5" thickBot="1" x14ac:dyDescent="0.9">
      <c r="B5" s="181"/>
      <c r="C5" s="768" t="s">
        <v>523</v>
      </c>
      <c r="D5" s="768"/>
      <c r="E5" s="182" t="s">
        <v>524</v>
      </c>
      <c r="F5" s="769" t="s">
        <v>524</v>
      </c>
      <c r="G5" s="770"/>
      <c r="H5" s="770"/>
      <c r="I5" s="770"/>
      <c r="J5" s="770"/>
      <c r="K5" s="771"/>
      <c r="L5" s="183"/>
      <c r="M5" s="184" t="s">
        <v>525</v>
      </c>
      <c r="N5" s="185" t="s">
        <v>525</v>
      </c>
      <c r="O5" s="185" t="s">
        <v>526</v>
      </c>
      <c r="P5" s="185" t="s">
        <v>527</v>
      </c>
      <c r="Q5" s="185" t="s">
        <v>528</v>
      </c>
      <c r="R5" s="186"/>
      <c r="S5" s="187" t="s">
        <v>529</v>
      </c>
    </row>
    <row r="6" spans="1:28" ht="45" thickTop="1" x14ac:dyDescent="0.75">
      <c r="B6" s="181"/>
      <c r="C6" s="188" t="s">
        <v>0</v>
      </c>
      <c r="D6" s="189" t="s">
        <v>530</v>
      </c>
      <c r="E6" s="190" t="s">
        <v>531</v>
      </c>
      <c r="F6" s="191" t="str">
        <f>'P&amp;L Summary'!C6</f>
        <v>Actuals YTD</v>
      </c>
      <c r="G6" s="190" t="s">
        <v>0</v>
      </c>
      <c r="H6" s="192" t="s">
        <v>532</v>
      </c>
      <c r="I6" s="190" t="s">
        <v>874</v>
      </c>
      <c r="J6" s="544"/>
      <c r="K6" s="190" t="s">
        <v>533</v>
      </c>
      <c r="L6" s="193" t="s">
        <v>101</v>
      </c>
      <c r="M6" s="194" t="s">
        <v>534</v>
      </c>
      <c r="N6" s="195" t="s">
        <v>535</v>
      </c>
      <c r="O6" s="195" t="s">
        <v>536</v>
      </c>
      <c r="P6" s="195" t="s">
        <v>537</v>
      </c>
      <c r="Q6" s="195" t="s">
        <v>538</v>
      </c>
      <c r="R6" s="196"/>
      <c r="S6" s="197"/>
    </row>
    <row r="7" spans="1:28" x14ac:dyDescent="0.75">
      <c r="B7" s="198" t="s">
        <v>539</v>
      </c>
      <c r="C7" s="199" t="s">
        <v>539</v>
      </c>
      <c r="D7" s="195"/>
      <c r="E7" s="200">
        <v>16</v>
      </c>
      <c r="F7" s="201">
        <v>15</v>
      </c>
      <c r="G7" s="200">
        <v>14.5</v>
      </c>
      <c r="H7" s="202">
        <f t="shared" ref="H7:H15" si="0">G7</f>
        <v>14.5</v>
      </c>
      <c r="I7" s="200"/>
      <c r="J7" s="545"/>
      <c r="K7" s="200"/>
      <c r="L7" s="203"/>
      <c r="M7" s="204">
        <v>21</v>
      </c>
      <c r="N7" s="205">
        <v>29</v>
      </c>
      <c r="O7" s="205">
        <v>33</v>
      </c>
      <c r="P7" s="205">
        <v>37</v>
      </c>
      <c r="Q7" s="205">
        <v>41</v>
      </c>
      <c r="R7" s="206"/>
      <c r="S7" s="197" t="s">
        <v>540</v>
      </c>
    </row>
    <row r="8" spans="1:28" x14ac:dyDescent="0.75">
      <c r="B8" s="198" t="s">
        <v>541</v>
      </c>
      <c r="C8" s="207" t="s">
        <v>541</v>
      </c>
      <c r="D8" s="208"/>
      <c r="E8" s="200">
        <v>120</v>
      </c>
      <c r="F8" s="201">
        <v>120</v>
      </c>
      <c r="G8" s="200">
        <v>120</v>
      </c>
      <c r="H8" s="202">
        <f t="shared" si="0"/>
        <v>120</v>
      </c>
      <c r="I8" s="200"/>
      <c r="J8" s="545"/>
      <c r="K8" s="200"/>
      <c r="L8" s="203"/>
      <c r="M8" s="204">
        <v>120</v>
      </c>
      <c r="N8" s="205">
        <v>180</v>
      </c>
      <c r="O8" s="205">
        <v>240</v>
      </c>
      <c r="P8" s="205">
        <v>300</v>
      </c>
      <c r="Q8" s="205">
        <v>360</v>
      </c>
      <c r="R8" s="206"/>
      <c r="S8" s="197"/>
    </row>
    <row r="9" spans="1:28" x14ac:dyDescent="0.75">
      <c r="B9" s="209" t="s">
        <v>542</v>
      </c>
      <c r="C9" s="210" t="s">
        <v>542</v>
      </c>
      <c r="D9" s="211"/>
      <c r="E9" s="212">
        <v>106</v>
      </c>
      <c r="F9" s="700">
        <v>112.47499999999999</v>
      </c>
      <c r="G9" s="212">
        <v>106</v>
      </c>
      <c r="H9" s="213">
        <f t="shared" si="0"/>
        <v>106</v>
      </c>
      <c r="I9" s="212"/>
      <c r="J9" s="546"/>
      <c r="K9" s="212"/>
      <c r="L9" s="214"/>
      <c r="M9" s="215">
        <v>106</v>
      </c>
      <c r="N9" s="216">
        <v>171</v>
      </c>
      <c r="O9" s="216">
        <v>228</v>
      </c>
      <c r="P9" s="216">
        <v>285</v>
      </c>
      <c r="Q9" s="216">
        <v>342</v>
      </c>
      <c r="R9" s="217"/>
      <c r="S9" s="197" t="s">
        <v>543</v>
      </c>
      <c r="AB9" s="711"/>
    </row>
    <row r="10" spans="1:28" ht="29.5" x14ac:dyDescent="0.75">
      <c r="B10" s="209" t="s">
        <v>544</v>
      </c>
      <c r="C10" s="210" t="s">
        <v>544</v>
      </c>
      <c r="D10" s="211"/>
      <c r="E10" s="200">
        <v>4</v>
      </c>
      <c r="F10" s="201">
        <v>0</v>
      </c>
      <c r="G10" s="200">
        <v>1</v>
      </c>
      <c r="H10" s="202">
        <f t="shared" si="0"/>
        <v>1</v>
      </c>
      <c r="I10" s="200"/>
      <c r="J10" s="545"/>
      <c r="K10" s="200"/>
      <c r="L10" s="203"/>
      <c r="M10" s="218">
        <v>1</v>
      </c>
      <c r="N10" s="205">
        <v>5.3999999999999995</v>
      </c>
      <c r="O10" s="205">
        <v>7.2</v>
      </c>
      <c r="P10" s="205">
        <v>9</v>
      </c>
      <c r="Q10" s="205">
        <v>10.8</v>
      </c>
      <c r="R10" s="206"/>
      <c r="S10" s="197"/>
    </row>
    <row r="11" spans="1:28" ht="29.5" x14ac:dyDescent="0.75">
      <c r="B11" s="209" t="s">
        <v>545</v>
      </c>
      <c r="C11" s="210" t="s">
        <v>545</v>
      </c>
      <c r="D11" s="211"/>
      <c r="E11" s="200">
        <v>11</v>
      </c>
      <c r="F11" s="201">
        <v>12.8</v>
      </c>
      <c r="G11" s="200">
        <v>10</v>
      </c>
      <c r="H11" s="202">
        <f t="shared" si="0"/>
        <v>10</v>
      </c>
      <c r="I11" s="200"/>
      <c r="J11" s="545"/>
      <c r="K11" s="200"/>
      <c r="L11" s="203"/>
      <c r="M11" s="218">
        <v>10</v>
      </c>
      <c r="N11" s="205">
        <v>3.6000000000000005</v>
      </c>
      <c r="O11" s="205">
        <v>4.8000000000000007</v>
      </c>
      <c r="P11" s="205">
        <v>6.0000000000000018</v>
      </c>
      <c r="Q11" s="205">
        <v>7.2000000000000011</v>
      </c>
      <c r="R11" s="206"/>
      <c r="S11" s="197"/>
    </row>
    <row r="12" spans="1:28" x14ac:dyDescent="0.75">
      <c r="B12" s="209" t="s">
        <v>546</v>
      </c>
      <c r="C12" s="210" t="s">
        <v>546</v>
      </c>
      <c r="D12" s="211"/>
      <c r="E12" s="219">
        <v>0.8</v>
      </c>
      <c r="F12" s="220"/>
      <c r="G12" s="219">
        <v>0.8</v>
      </c>
      <c r="H12" s="221">
        <f t="shared" si="0"/>
        <v>0.8</v>
      </c>
      <c r="I12" s="219"/>
      <c r="J12" s="547"/>
      <c r="K12" s="219"/>
      <c r="L12" s="222"/>
      <c r="M12" s="223">
        <v>0.8</v>
      </c>
      <c r="N12" s="224">
        <v>0.87</v>
      </c>
      <c r="O12" s="224">
        <v>0.87</v>
      </c>
      <c r="P12" s="224">
        <v>0.87</v>
      </c>
      <c r="Q12" s="224">
        <v>0.87</v>
      </c>
      <c r="R12" s="225"/>
      <c r="S12" s="197"/>
    </row>
    <row r="13" spans="1:28" x14ac:dyDescent="0.75">
      <c r="B13" s="209" t="s">
        <v>547</v>
      </c>
      <c r="C13" s="210" t="s">
        <v>547</v>
      </c>
      <c r="D13" s="211"/>
      <c r="E13" s="226">
        <v>16154</v>
      </c>
      <c r="F13" s="699">
        <v>16150</v>
      </c>
      <c r="G13" s="226">
        <v>16154</v>
      </c>
      <c r="H13" s="227">
        <f t="shared" si="0"/>
        <v>16154</v>
      </c>
      <c r="I13" s="226"/>
      <c r="J13" s="548"/>
      <c r="K13" s="226"/>
      <c r="L13" s="228"/>
      <c r="M13" s="229">
        <f>G13</f>
        <v>16154</v>
      </c>
      <c r="N13" s="230">
        <f>G13*1.01</f>
        <v>16315.54</v>
      </c>
      <c r="O13" s="230">
        <f t="shared" ref="O13:Q13" si="1">N13*1.01</f>
        <v>16478.695400000001</v>
      </c>
      <c r="P13" s="230">
        <f t="shared" si="1"/>
        <v>16643.482354</v>
      </c>
      <c r="Q13" s="230">
        <f t="shared" si="1"/>
        <v>16809.917177539999</v>
      </c>
      <c r="R13" s="231"/>
      <c r="S13" s="197"/>
    </row>
    <row r="14" spans="1:28" ht="29.5" x14ac:dyDescent="0.75">
      <c r="B14" s="209" t="s">
        <v>548</v>
      </c>
      <c r="C14" s="210" t="s">
        <v>548</v>
      </c>
      <c r="D14" s="211"/>
      <c r="E14" s="226">
        <v>10390</v>
      </c>
      <c r="F14" s="699">
        <v>10390</v>
      </c>
      <c r="G14" s="226">
        <v>10390</v>
      </c>
      <c r="H14" s="227">
        <f t="shared" si="0"/>
        <v>10390</v>
      </c>
      <c r="I14" s="226"/>
      <c r="J14" s="548"/>
      <c r="K14" s="226"/>
      <c r="L14" s="228"/>
      <c r="M14" s="229">
        <v>10390</v>
      </c>
      <c r="N14" s="230">
        <v>10390</v>
      </c>
      <c r="O14" s="230">
        <v>10390</v>
      </c>
      <c r="P14" s="230">
        <v>10390</v>
      </c>
      <c r="Q14" s="230">
        <v>10390</v>
      </c>
      <c r="R14" s="231"/>
      <c r="S14" s="197" t="s">
        <v>549</v>
      </c>
    </row>
    <row r="15" spans="1:28" ht="29.5" x14ac:dyDescent="0.75">
      <c r="B15" s="209" t="s">
        <v>550</v>
      </c>
      <c r="C15" s="210" t="s">
        <v>550</v>
      </c>
      <c r="D15" s="211"/>
      <c r="E15" s="226">
        <v>19049</v>
      </c>
      <c r="F15" s="699">
        <v>19049</v>
      </c>
      <c r="G15" s="226">
        <v>19049</v>
      </c>
      <c r="H15" s="227">
        <f t="shared" si="0"/>
        <v>19049</v>
      </c>
      <c r="I15" s="226"/>
      <c r="J15" s="548"/>
      <c r="K15" s="226"/>
      <c r="L15" s="228"/>
      <c r="M15" s="229">
        <v>19049</v>
      </c>
      <c r="N15" s="230">
        <v>19049</v>
      </c>
      <c r="O15" s="230">
        <v>19049</v>
      </c>
      <c r="P15" s="230">
        <v>19049</v>
      </c>
      <c r="Q15" s="230">
        <v>19049</v>
      </c>
      <c r="R15" s="231"/>
      <c r="S15" s="197" t="s">
        <v>549</v>
      </c>
    </row>
    <row r="16" spans="1:28" x14ac:dyDescent="0.75">
      <c r="B16" s="232" t="s">
        <v>551</v>
      </c>
      <c r="C16" s="233">
        <f t="shared" ref="C16:H16" si="2">C57</f>
        <v>762054</v>
      </c>
      <c r="D16" s="233">
        <f t="shared" si="2"/>
        <v>760575</v>
      </c>
      <c r="E16" s="234">
        <f t="shared" si="2"/>
        <v>3138617.8000000003</v>
      </c>
      <c r="F16" s="233">
        <f t="shared" si="2"/>
        <v>1969113.72</v>
      </c>
      <c r="G16" s="235">
        <f t="shared" si="2"/>
        <v>3026229.8000000003</v>
      </c>
      <c r="H16" s="235">
        <f t="shared" si="2"/>
        <v>3026229.8000000003</v>
      </c>
      <c r="I16" s="236">
        <f>F16/H16</f>
        <v>0.65068215242609795</v>
      </c>
      <c r="J16" s="236"/>
      <c r="K16" s="235">
        <f>H16-F16</f>
        <v>1057116.0800000003</v>
      </c>
      <c r="L16" s="237"/>
      <c r="M16" s="238">
        <f>M57</f>
        <v>2964701.6</v>
      </c>
      <c r="N16" s="233">
        <f t="shared" ref="N16:Q16" si="3">N57</f>
        <v>3828998.94</v>
      </c>
      <c r="O16" s="233">
        <f t="shared" si="3"/>
        <v>5090379.3512000004</v>
      </c>
      <c r="P16" s="233">
        <f t="shared" si="3"/>
        <v>6409939.4708899995</v>
      </c>
      <c r="Q16" s="233">
        <f t="shared" si="3"/>
        <v>7748848.8747186791</v>
      </c>
      <c r="R16" s="239"/>
      <c r="S16" s="240"/>
    </row>
    <row r="17" spans="2:27" x14ac:dyDescent="0.75">
      <c r="B17" s="241" t="s">
        <v>552</v>
      </c>
      <c r="C17" s="242" t="e">
        <f t="shared" ref="C17:H17" si="4">C235</f>
        <v>#REF!</v>
      </c>
      <c r="D17" s="242">
        <f t="shared" si="4"/>
        <v>347413.75999999989</v>
      </c>
      <c r="E17" s="243" t="e">
        <f t="shared" si="4"/>
        <v>#REF!</v>
      </c>
      <c r="F17" s="242">
        <f t="shared" si="4"/>
        <v>2180199.0500000003</v>
      </c>
      <c r="G17" s="244" t="e">
        <f t="shared" si="4"/>
        <v>#VALUE!</v>
      </c>
      <c r="H17" s="244">
        <f t="shared" si="4"/>
        <v>3553928.4783039754</v>
      </c>
      <c r="I17" s="236">
        <f>F17/H17</f>
        <v>0.61346171238663938</v>
      </c>
      <c r="J17" s="236"/>
      <c r="K17" s="235">
        <f>H17-F17</f>
        <v>1373729.4283039751</v>
      </c>
      <c r="L17" s="237"/>
      <c r="M17" s="238" t="e">
        <f>M235</f>
        <v>#VALUE!</v>
      </c>
      <c r="N17" s="233" t="e">
        <f t="shared" ref="N17:Q17" si="5">N235</f>
        <v>#VALUE!</v>
      </c>
      <c r="O17" s="233" t="e">
        <f t="shared" si="5"/>
        <v>#VALUE!</v>
      </c>
      <c r="P17" s="233" t="e">
        <f t="shared" si="5"/>
        <v>#VALUE!</v>
      </c>
      <c r="Q17" s="233" t="e">
        <f t="shared" si="5"/>
        <v>#VALUE!</v>
      </c>
      <c r="R17" s="239"/>
      <c r="S17" s="240"/>
    </row>
    <row r="18" spans="2:27" x14ac:dyDescent="0.75">
      <c r="B18" s="245" t="s">
        <v>553</v>
      </c>
      <c r="C18" s="233" t="e">
        <f t="shared" ref="C18:H18" si="6">C16-C17</f>
        <v>#REF!</v>
      </c>
      <c r="D18" s="233">
        <f t="shared" si="6"/>
        <v>413161.24000000011</v>
      </c>
      <c r="E18" s="234" t="e">
        <f t="shared" si="6"/>
        <v>#REF!</v>
      </c>
      <c r="F18" s="246">
        <f t="shared" si="6"/>
        <v>-211085.33000000031</v>
      </c>
      <c r="G18" s="247" t="e">
        <f t="shared" si="6"/>
        <v>#VALUE!</v>
      </c>
      <c r="H18" s="247">
        <f t="shared" si="6"/>
        <v>-527698.67830397515</v>
      </c>
      <c r="I18" s="236">
        <f>F18/H18</f>
        <v>0.40001110231776416</v>
      </c>
      <c r="J18" s="236"/>
      <c r="K18" s="247">
        <f>K16-K17</f>
        <v>-316613.34830397484</v>
      </c>
      <c r="L18" s="237"/>
      <c r="M18" s="238" t="e">
        <f>M16-M17</f>
        <v>#VALUE!</v>
      </c>
      <c r="N18" s="233" t="e">
        <f t="shared" ref="N18:Q18" si="7">N16-N17</f>
        <v>#VALUE!</v>
      </c>
      <c r="O18" s="233" t="e">
        <f t="shared" si="7"/>
        <v>#VALUE!</v>
      </c>
      <c r="P18" s="233" t="e">
        <f t="shared" si="7"/>
        <v>#VALUE!</v>
      </c>
      <c r="Q18" s="233" t="e">
        <f t="shared" si="7"/>
        <v>#VALUE!</v>
      </c>
      <c r="R18" s="239"/>
      <c r="S18" s="240"/>
      <c r="AA18" s="248"/>
    </row>
    <row r="19" spans="2:27" x14ac:dyDescent="0.75">
      <c r="B19" s="249" t="s">
        <v>554</v>
      </c>
      <c r="C19" s="250" t="e">
        <f t="shared" ref="C19:H19" si="8">C265</f>
        <v>#REF!</v>
      </c>
      <c r="D19" s="250">
        <f t="shared" si="8"/>
        <v>276763.62000000011</v>
      </c>
      <c r="E19" s="251" t="e">
        <f t="shared" si="8"/>
        <v>#REF!</v>
      </c>
      <c r="F19" s="250">
        <f t="shared" si="8"/>
        <v>197870.10999999975</v>
      </c>
      <c r="G19" s="252" t="e">
        <f t="shared" si="8"/>
        <v>#VALUE!</v>
      </c>
      <c r="H19" s="252">
        <f t="shared" si="8"/>
        <v>71385.077955000335</v>
      </c>
      <c r="I19" s="253">
        <f>F19/H19</f>
        <v>2.7718693551715798</v>
      </c>
      <c r="J19" s="253"/>
      <c r="K19" s="254">
        <f>H19-F19</f>
        <v>-126485.03204499942</v>
      </c>
      <c r="L19" s="255"/>
      <c r="M19" s="256" t="e">
        <f>M265</f>
        <v>#VALUE!</v>
      </c>
      <c r="N19" s="242" t="e">
        <f t="shared" ref="N19:Q19" si="9">N265</f>
        <v>#VALUE!</v>
      </c>
      <c r="O19" s="242" t="e">
        <f t="shared" si="9"/>
        <v>#VALUE!</v>
      </c>
      <c r="P19" s="242" t="e">
        <f t="shared" si="9"/>
        <v>#VALUE!</v>
      </c>
      <c r="Q19" s="242" t="e">
        <f t="shared" si="9"/>
        <v>#VALUE!</v>
      </c>
      <c r="R19" s="239"/>
      <c r="S19" s="257" t="s">
        <v>555</v>
      </c>
    </row>
    <row r="20" spans="2:27" x14ac:dyDescent="0.75">
      <c r="B20" s="166" t="s">
        <v>556</v>
      </c>
      <c r="C20" s="258"/>
      <c r="D20" s="258"/>
      <c r="E20" s="259"/>
      <c r="F20" s="260"/>
      <c r="G20" s="261"/>
      <c r="H20" s="262"/>
      <c r="I20" s="261"/>
      <c r="J20" s="549"/>
      <c r="K20" s="261"/>
      <c r="L20" s="263"/>
      <c r="M20" s="264"/>
      <c r="N20" s="258"/>
      <c r="O20" s="258"/>
      <c r="P20" s="258"/>
      <c r="Q20" s="258"/>
      <c r="R20" s="258"/>
      <c r="S20" s="265"/>
    </row>
    <row r="21" spans="2:27" x14ac:dyDescent="0.75">
      <c r="B21" s="166" t="s">
        <v>249</v>
      </c>
      <c r="C21" s="166"/>
      <c r="D21" s="166"/>
      <c r="E21" s="266"/>
      <c r="F21" s="267"/>
      <c r="G21" s="268"/>
      <c r="H21" s="269"/>
      <c r="I21" s="268"/>
      <c r="J21" s="550"/>
      <c r="K21" s="268"/>
      <c r="L21" s="270"/>
      <c r="M21" s="271"/>
      <c r="N21" s="272"/>
      <c r="O21" s="272"/>
      <c r="P21" s="272"/>
      <c r="Q21" s="272"/>
      <c r="R21" s="272"/>
      <c r="S21" s="272"/>
    </row>
    <row r="22" spans="2:27" x14ac:dyDescent="0.75">
      <c r="B22" s="166" t="s">
        <v>250</v>
      </c>
      <c r="C22" s="273"/>
      <c r="D22" s="273"/>
      <c r="E22" s="274">
        <v>1712324</v>
      </c>
      <c r="F22" s="275">
        <f>'P&amp;L (QB)'!B8</f>
        <v>1216498.75</v>
      </c>
      <c r="G22" s="268">
        <f>G9*G13</f>
        <v>1712324</v>
      </c>
      <c r="H22" s="269">
        <v>1712324</v>
      </c>
      <c r="I22" s="276">
        <f>F22/H22</f>
        <v>0.710437247857298</v>
      </c>
      <c r="J22" s="551"/>
      <c r="K22" s="535">
        <f>H22-F22</f>
        <v>495825.25</v>
      </c>
      <c r="L22" s="270"/>
      <c r="M22" s="277">
        <f>M9*M13</f>
        <v>1712324</v>
      </c>
      <c r="N22" s="273">
        <f>N9*N13</f>
        <v>2789957.3400000003</v>
      </c>
      <c r="O22" s="273">
        <f t="shared" ref="O22:P22" si="10">O9*O13</f>
        <v>3757142.5512000001</v>
      </c>
      <c r="P22" s="273">
        <f t="shared" si="10"/>
        <v>4743392.4708899995</v>
      </c>
      <c r="Q22" s="273">
        <f>Q9*Q13</f>
        <v>5748991.6747186799</v>
      </c>
      <c r="R22" s="273"/>
      <c r="S22" s="272" t="str">
        <f>TEXT(G13,"$#,##")&amp;"/student"</f>
        <v>$16,154/student</v>
      </c>
    </row>
    <row r="23" spans="2:27" x14ac:dyDescent="0.75">
      <c r="B23" s="166" t="s">
        <v>252</v>
      </c>
      <c r="C23" s="273"/>
      <c r="D23" s="273"/>
      <c r="E23" s="274">
        <v>251099</v>
      </c>
      <c r="F23" s="275">
        <f>'P&amp;L (QB)'!B9</f>
        <v>141380.99</v>
      </c>
      <c r="G23" s="268">
        <f>(G10*G14)+(G11*G15)</f>
        <v>200880</v>
      </c>
      <c r="H23" s="269">
        <v>200880</v>
      </c>
      <c r="I23" s="276">
        <f t="shared" ref="I23:I30" si="11">F23/H23</f>
        <v>0.70380819394663474</v>
      </c>
      <c r="J23" s="551"/>
      <c r="K23" s="535">
        <f>H23-F23</f>
        <v>59499.010000000009</v>
      </c>
      <c r="L23" s="270"/>
      <c r="M23" s="278">
        <f t="shared" ref="M23:Q23" si="12">(M10*M14)+(M11*M15)</f>
        <v>200880</v>
      </c>
      <c r="N23" s="273">
        <f t="shared" si="12"/>
        <v>124682.4</v>
      </c>
      <c r="O23" s="273">
        <f t="shared" si="12"/>
        <v>166243.20000000001</v>
      </c>
      <c r="P23" s="273">
        <f t="shared" si="12"/>
        <v>207804.00000000003</v>
      </c>
      <c r="Q23" s="273">
        <f t="shared" si="12"/>
        <v>249364.80000000005</v>
      </c>
      <c r="R23" s="273"/>
      <c r="S23" s="272" t="s">
        <v>897</v>
      </c>
    </row>
    <row r="24" spans="2:27" x14ac:dyDescent="0.75">
      <c r="B24" s="166" t="s">
        <v>251</v>
      </c>
      <c r="C24" s="273"/>
      <c r="D24" s="273"/>
      <c r="E24" s="274">
        <v>513697.19999999995</v>
      </c>
      <c r="F24" s="275">
        <f>'P&amp;L (QB)'!B10</f>
        <v>325597</v>
      </c>
      <c r="G24" s="268">
        <f>MIN(G224,G22*0.3)-125000</f>
        <v>388697.19999999995</v>
      </c>
      <c r="H24" s="269">
        <v>388697.19999999995</v>
      </c>
      <c r="I24" s="276">
        <f>F24/H24</f>
        <v>0.83766232429767962</v>
      </c>
      <c r="J24" s="551"/>
      <c r="K24" s="535">
        <f t="shared" ref="K24:K30" si="13">H24-F24</f>
        <v>63100.199999999953</v>
      </c>
      <c r="L24" s="270"/>
      <c r="M24" s="278">
        <f>375000+26000</f>
        <v>401000</v>
      </c>
      <c r="N24" s="273">
        <f>MIN(N224,N22*0.3)</f>
        <v>750000</v>
      </c>
      <c r="O24" s="273">
        <f>MIN(O224,O22*0.3)</f>
        <v>1000000</v>
      </c>
      <c r="P24" s="273">
        <f>MIN(P224,P22*0.3)</f>
        <v>1250000</v>
      </c>
      <c r="Q24" s="273">
        <f>MIN(Q224,Q22*0.3)</f>
        <v>1500000</v>
      </c>
      <c r="R24" s="273"/>
      <c r="S24" s="272" t="s">
        <v>557</v>
      </c>
    </row>
    <row r="25" spans="2:27" x14ac:dyDescent="0.75">
      <c r="B25" s="166" t="s">
        <v>381</v>
      </c>
      <c r="C25" s="273"/>
      <c r="D25" s="273"/>
      <c r="E25" s="274">
        <v>6990</v>
      </c>
      <c r="F25" s="275">
        <f>'P&amp;L (QB)'!B11</f>
        <v>0</v>
      </c>
      <c r="G25" s="268">
        <f>58.25*G8</f>
        <v>6990</v>
      </c>
      <c r="H25" s="269">
        <v>6990</v>
      </c>
      <c r="I25" s="276">
        <f t="shared" si="11"/>
        <v>0</v>
      </c>
      <c r="J25" s="551"/>
      <c r="K25" s="535">
        <f t="shared" si="13"/>
        <v>6990</v>
      </c>
      <c r="L25" s="270"/>
      <c r="M25" s="278">
        <f t="shared" ref="M25:Q25" si="14">58.25*M8</f>
        <v>6990</v>
      </c>
      <c r="N25" s="273">
        <f t="shared" si="14"/>
        <v>10485</v>
      </c>
      <c r="O25" s="273">
        <f t="shared" si="14"/>
        <v>13980</v>
      </c>
      <c r="P25" s="273">
        <f t="shared" si="14"/>
        <v>17475</v>
      </c>
      <c r="Q25" s="273">
        <f t="shared" si="14"/>
        <v>20970</v>
      </c>
      <c r="R25" s="273"/>
      <c r="S25" s="272" t="s">
        <v>558</v>
      </c>
    </row>
    <row r="26" spans="2:27" x14ac:dyDescent="0.75">
      <c r="B26" s="166" t="s">
        <v>382</v>
      </c>
      <c r="C26" s="273"/>
      <c r="D26" s="273"/>
      <c r="E26" s="274">
        <v>1797.6000000000001</v>
      </c>
      <c r="F26" s="275">
        <f>'P&amp;L (QB)'!B12</f>
        <v>0</v>
      </c>
      <c r="G26" s="268">
        <f>14.98*G8</f>
        <v>1797.6000000000001</v>
      </c>
      <c r="H26" s="269">
        <v>1797.6000000000001</v>
      </c>
      <c r="I26" s="276">
        <f t="shared" si="11"/>
        <v>0</v>
      </c>
      <c r="J26" s="551"/>
      <c r="K26" s="535">
        <f t="shared" si="13"/>
        <v>1797.6000000000001</v>
      </c>
      <c r="L26" s="270"/>
      <c r="M26" s="278">
        <f t="shared" ref="M26:Q26" si="15">14.98*M8</f>
        <v>1797.6000000000001</v>
      </c>
      <c r="N26" s="273">
        <f t="shared" si="15"/>
        <v>2696.4</v>
      </c>
      <c r="O26" s="273">
        <f t="shared" si="15"/>
        <v>3595.2000000000003</v>
      </c>
      <c r="P26" s="273">
        <f t="shared" si="15"/>
        <v>4494</v>
      </c>
      <c r="Q26" s="273">
        <f t="shared" si="15"/>
        <v>5392.8</v>
      </c>
      <c r="R26" s="273"/>
      <c r="S26" s="272" t="s">
        <v>559</v>
      </c>
    </row>
    <row r="27" spans="2:27" x14ac:dyDescent="0.75">
      <c r="B27" s="166" t="s">
        <v>383</v>
      </c>
      <c r="C27" s="273"/>
      <c r="D27" s="273"/>
      <c r="E27" s="274">
        <v>750</v>
      </c>
      <c r="F27" s="275">
        <f>'P&amp;L (QB)'!B13</f>
        <v>0</v>
      </c>
      <c r="G27" s="274">
        <f>6.25*G8</f>
        <v>750</v>
      </c>
      <c r="H27" s="279">
        <v>750</v>
      </c>
      <c r="I27" s="276">
        <f t="shared" si="11"/>
        <v>0</v>
      </c>
      <c r="J27" s="551"/>
      <c r="K27" s="535">
        <f t="shared" si="13"/>
        <v>750</v>
      </c>
      <c r="L27" s="280"/>
      <c r="M27" s="278">
        <f t="shared" ref="M27:Q27" si="16">6.25*M8</f>
        <v>750</v>
      </c>
      <c r="N27" s="273">
        <f t="shared" si="16"/>
        <v>1125</v>
      </c>
      <c r="O27" s="273">
        <f t="shared" si="16"/>
        <v>1500</v>
      </c>
      <c r="P27" s="273">
        <f t="shared" si="16"/>
        <v>1875</v>
      </c>
      <c r="Q27" s="273">
        <f t="shared" si="16"/>
        <v>2250</v>
      </c>
      <c r="R27" s="273"/>
      <c r="S27" s="272" t="s">
        <v>560</v>
      </c>
    </row>
    <row r="28" spans="2:27" x14ac:dyDescent="0.75">
      <c r="B28" s="166" t="s">
        <v>384</v>
      </c>
      <c r="C28" s="273"/>
      <c r="D28" s="273"/>
      <c r="E28" s="274"/>
      <c r="F28" s="275">
        <f>'P&amp;L (QB)'!B14</f>
        <v>0</v>
      </c>
      <c r="G28" s="274"/>
      <c r="H28" s="279"/>
      <c r="I28" s="276"/>
      <c r="J28" s="551"/>
      <c r="K28" s="535"/>
      <c r="L28" s="280"/>
      <c r="M28" s="278"/>
      <c r="N28" s="273">
        <v>0</v>
      </c>
      <c r="O28" s="273">
        <v>0</v>
      </c>
      <c r="P28" s="273">
        <v>0</v>
      </c>
      <c r="Q28" s="273">
        <v>0</v>
      </c>
      <c r="R28" s="273"/>
      <c r="S28" s="272" t="s">
        <v>561</v>
      </c>
    </row>
    <row r="29" spans="2:27" x14ac:dyDescent="0.75">
      <c r="B29" s="166" t="s">
        <v>385</v>
      </c>
      <c r="C29" s="273"/>
      <c r="D29" s="273"/>
      <c r="E29" s="274">
        <v>232700</v>
      </c>
      <c r="F29" s="275">
        <f>'P&amp;L (QB)'!B15</f>
        <v>0</v>
      </c>
      <c r="G29" s="274">
        <f>185000+(450*G9)</f>
        <v>232700</v>
      </c>
      <c r="H29" s="279">
        <v>232700</v>
      </c>
      <c r="I29" s="276">
        <f t="shared" si="11"/>
        <v>0</v>
      </c>
      <c r="J29" s="551"/>
      <c r="K29" s="535">
        <f t="shared" si="13"/>
        <v>232700</v>
      </c>
      <c r="L29" s="280"/>
      <c r="M29" s="278">
        <f>185000+(450*M9)</f>
        <v>232700</v>
      </c>
      <c r="N29" s="273">
        <v>0</v>
      </c>
      <c r="O29" s="273">
        <v>0</v>
      </c>
      <c r="P29" s="273">
        <v>0</v>
      </c>
      <c r="Q29" s="273">
        <v>0</v>
      </c>
      <c r="R29" s="273"/>
      <c r="S29" s="272" t="s">
        <v>562</v>
      </c>
    </row>
    <row r="30" spans="2:27" x14ac:dyDescent="0.75">
      <c r="B30" s="166" t="s">
        <v>386</v>
      </c>
      <c r="C30" s="273"/>
      <c r="D30" s="273"/>
      <c r="E30" s="274">
        <v>19928</v>
      </c>
      <c r="F30" s="275">
        <f>'P&amp;L (QB)'!B16</f>
        <v>0</v>
      </c>
      <c r="G30" s="274">
        <f>188*G9</f>
        <v>19928</v>
      </c>
      <c r="H30" s="279">
        <v>19928</v>
      </c>
      <c r="I30" s="276">
        <f t="shared" si="11"/>
        <v>0</v>
      </c>
      <c r="J30" s="551"/>
      <c r="K30" s="535">
        <f t="shared" si="13"/>
        <v>19928</v>
      </c>
      <c r="L30" s="280"/>
      <c r="M30" s="271">
        <f>188*G9</f>
        <v>19928</v>
      </c>
      <c r="N30" s="272"/>
      <c r="O30" s="272"/>
      <c r="P30" s="272"/>
      <c r="Q30" s="272"/>
      <c r="R30" s="272"/>
      <c r="S30" s="281" t="s">
        <v>563</v>
      </c>
    </row>
    <row r="31" spans="2:27" x14ac:dyDescent="0.75">
      <c r="B31" s="282" t="s">
        <v>248</v>
      </c>
      <c r="C31" s="283">
        <f t="shared" ref="C31:G31" si="17">(((((((((C21)+(C22))+(C23))+(C24))+(C25))+(C26))+(C27))+(C28))+(C29))+(C30)</f>
        <v>0</v>
      </c>
      <c r="D31" s="283">
        <f t="shared" si="17"/>
        <v>0</v>
      </c>
      <c r="E31" s="283">
        <f t="shared" si="17"/>
        <v>2739285.8000000003</v>
      </c>
      <c r="F31" s="284">
        <f>(((((((((F21)+(F22))+(F23))+(F24))+(F25))+(F26))+(F27))+(F28))+(F29))+(F30)</f>
        <v>1683476.74</v>
      </c>
      <c r="G31" s="284">
        <f t="shared" si="17"/>
        <v>2564066.8000000003</v>
      </c>
      <c r="H31" s="284">
        <f>(((((((((H21)+(H22))+(H23))+(H24))+(H25))+(H26))+(H27))+(H28))+(H29))+(H30)</f>
        <v>2564066.8000000003</v>
      </c>
      <c r="I31" s="285">
        <f>F31/H31</f>
        <v>0.65656508636982458</v>
      </c>
      <c r="J31" s="285"/>
      <c r="K31" s="513">
        <f>(((((((((K21)+(K22))+(K23))+(K24))+(K25))+(K26))+(K27))+(K28))+(K29))+(K30)</f>
        <v>880590.05999999994</v>
      </c>
      <c r="L31" s="286"/>
      <c r="M31" s="287">
        <f t="shared" ref="M31:Q31" si="18">(((((((((M21)+(M22))+(M23))+(M24))+(M25))+(M26))+(M27))+(M28))+(M29))+(M30)</f>
        <v>2576369.6</v>
      </c>
      <c r="N31" s="171">
        <f t="shared" si="18"/>
        <v>3678946.14</v>
      </c>
      <c r="O31" s="171">
        <f t="shared" si="18"/>
        <v>4942460.9512</v>
      </c>
      <c r="P31" s="171">
        <f t="shared" si="18"/>
        <v>6225040.4708899995</v>
      </c>
      <c r="Q31" s="171">
        <f t="shared" si="18"/>
        <v>7526969.2747186795</v>
      </c>
      <c r="R31" s="171"/>
      <c r="S31" s="288"/>
    </row>
    <row r="32" spans="2:27" x14ac:dyDescent="0.75">
      <c r="B32" s="166" t="s">
        <v>63</v>
      </c>
      <c r="C32" s="289"/>
      <c r="D32" s="289"/>
      <c r="E32" s="274"/>
      <c r="F32" s="290"/>
      <c r="G32" s="274"/>
      <c r="H32" s="279"/>
      <c r="I32" s="276"/>
      <c r="J32" s="551"/>
      <c r="K32" s="274"/>
      <c r="L32" s="280"/>
      <c r="M32" s="271"/>
      <c r="N32" s="272"/>
      <c r="O32" s="272"/>
      <c r="P32" s="272"/>
      <c r="Q32" s="272"/>
      <c r="R32" s="272"/>
      <c r="S32" s="272"/>
    </row>
    <row r="33" spans="2:20" x14ac:dyDescent="0.75">
      <c r="B33" s="166" t="s">
        <v>387</v>
      </c>
      <c r="C33" s="289"/>
      <c r="D33" s="289"/>
      <c r="E33" s="274">
        <v>11000</v>
      </c>
      <c r="F33" s="291">
        <f>'P&amp;L (QB)'!B19</f>
        <v>12884</v>
      </c>
      <c r="G33" s="274"/>
      <c r="H33" s="279">
        <f>G33</f>
        <v>0</v>
      </c>
      <c r="I33" s="276"/>
      <c r="J33" s="551"/>
      <c r="K33" s="535"/>
      <c r="L33" s="280"/>
      <c r="M33" s="278">
        <v>0</v>
      </c>
      <c r="N33" s="273">
        <f t="shared" ref="N33:Q33" si="19">1000*(N11)</f>
        <v>3600.0000000000005</v>
      </c>
      <c r="O33" s="273">
        <f t="shared" si="19"/>
        <v>4800.0000000000009</v>
      </c>
      <c r="P33" s="273">
        <f t="shared" si="19"/>
        <v>6000.0000000000018</v>
      </c>
      <c r="Q33" s="273">
        <f t="shared" si="19"/>
        <v>7200.0000000000009</v>
      </c>
      <c r="R33" s="273"/>
      <c r="S33" s="272" t="s">
        <v>564</v>
      </c>
    </row>
    <row r="34" spans="2:20" x14ac:dyDescent="0.75">
      <c r="B34" s="166" t="s">
        <v>388</v>
      </c>
      <c r="C34" s="289"/>
      <c r="D34" s="289"/>
      <c r="E34" s="274">
        <v>42400.000000000007</v>
      </c>
      <c r="F34" s="291">
        <f>'P&amp;L (QB)'!B20</f>
        <v>29032</v>
      </c>
      <c r="G34" s="274">
        <f>G9*G12*500</f>
        <v>42400.000000000007</v>
      </c>
      <c r="H34" s="279">
        <v>42400.000000000007</v>
      </c>
      <c r="I34" s="276">
        <f t="shared" ref="I34:I39" si="20">F34/H34</f>
        <v>0.68471698113207535</v>
      </c>
      <c r="J34" s="551"/>
      <c r="K34" s="535">
        <f t="shared" ref="K34:K39" si="21">H34-F34</f>
        <v>13368.000000000007</v>
      </c>
      <c r="L34" s="280"/>
      <c r="M34" s="278">
        <f t="shared" ref="M34:Q34" si="22">M9*M12*500</f>
        <v>42400.000000000007</v>
      </c>
      <c r="N34" s="273">
        <f t="shared" si="22"/>
        <v>74385</v>
      </c>
      <c r="O34" s="273">
        <f t="shared" si="22"/>
        <v>99179.999999999985</v>
      </c>
      <c r="P34" s="273">
        <f t="shared" si="22"/>
        <v>123975</v>
      </c>
      <c r="Q34" s="273">
        <f t="shared" si="22"/>
        <v>148770</v>
      </c>
      <c r="R34" s="273"/>
      <c r="S34" s="272" t="s">
        <v>565</v>
      </c>
    </row>
    <row r="35" spans="2:20" x14ac:dyDescent="0.75">
      <c r="B35" s="166" t="s">
        <v>389</v>
      </c>
      <c r="C35" s="289"/>
      <c r="D35" s="289"/>
      <c r="E35" s="274">
        <v>3392.0000000000005</v>
      </c>
      <c r="F35" s="291">
        <f>'P&amp;L (QB)'!B21</f>
        <v>4213</v>
      </c>
      <c r="G35" s="274">
        <f>G9*G12*40</f>
        <v>3392.0000000000005</v>
      </c>
      <c r="H35" s="279">
        <v>3392.0000000000005</v>
      </c>
      <c r="I35" s="276">
        <f t="shared" si="20"/>
        <v>1.2420400943396224</v>
      </c>
      <c r="J35" s="551"/>
      <c r="K35" s="535">
        <f t="shared" si="21"/>
        <v>-820.99999999999955</v>
      </c>
      <c r="L35" s="280"/>
      <c r="M35" s="278">
        <f t="shared" ref="M35:Q35" si="23">M9*M12*40</f>
        <v>3392.0000000000005</v>
      </c>
      <c r="N35" s="273">
        <f t="shared" si="23"/>
        <v>5950.8</v>
      </c>
      <c r="O35" s="273">
        <f t="shared" si="23"/>
        <v>7934.4</v>
      </c>
      <c r="P35" s="273">
        <f t="shared" si="23"/>
        <v>9918</v>
      </c>
      <c r="Q35" s="273">
        <f t="shared" si="23"/>
        <v>11901.6</v>
      </c>
      <c r="R35" s="273"/>
      <c r="S35" s="272" t="s">
        <v>566</v>
      </c>
    </row>
    <row r="36" spans="2:20" x14ac:dyDescent="0.75">
      <c r="B36" s="166" t="s">
        <v>390</v>
      </c>
      <c r="C36" s="289"/>
      <c r="D36" s="289"/>
      <c r="E36" s="274"/>
      <c r="F36" s="291">
        <f>'P&amp;L (QB)'!B22</f>
        <v>0</v>
      </c>
      <c r="G36" s="274"/>
      <c r="H36" s="279">
        <v>0</v>
      </c>
      <c r="I36" s="276"/>
      <c r="J36" s="551"/>
      <c r="K36" s="535" t="s">
        <v>102</v>
      </c>
      <c r="L36" s="280"/>
      <c r="M36" s="278"/>
      <c r="N36" s="273"/>
      <c r="O36" s="273"/>
      <c r="P36" s="273"/>
      <c r="Q36" s="273"/>
      <c r="R36" s="273"/>
      <c r="S36" s="272" t="s">
        <v>567</v>
      </c>
    </row>
    <row r="37" spans="2:20" x14ac:dyDescent="0.75">
      <c r="B37" s="166" t="s">
        <v>391</v>
      </c>
      <c r="C37" s="289"/>
      <c r="D37" s="289"/>
      <c r="E37" s="274">
        <v>27540</v>
      </c>
      <c r="F37" s="291">
        <f>'P&amp;L (QB)'!B23</f>
        <v>12058.29</v>
      </c>
      <c r="G37" s="274">
        <f>(2550*12)*90%</f>
        <v>27540</v>
      </c>
      <c r="H37" s="279">
        <v>27540</v>
      </c>
      <c r="I37" s="276">
        <f t="shared" si="20"/>
        <v>0.43784640522875823</v>
      </c>
      <c r="J37" s="551"/>
      <c r="K37" s="535">
        <f t="shared" si="21"/>
        <v>15481.71</v>
      </c>
      <c r="L37" s="280"/>
      <c r="M37" s="278">
        <f>(2550*12)*90%</f>
        <v>27540</v>
      </c>
      <c r="N37" s="273">
        <f t="shared" ref="N37:Q37" si="24">N8*150</f>
        <v>27000</v>
      </c>
      <c r="O37" s="273">
        <f t="shared" si="24"/>
        <v>36000</v>
      </c>
      <c r="P37" s="273">
        <f t="shared" si="24"/>
        <v>45000</v>
      </c>
      <c r="Q37" s="273">
        <f t="shared" si="24"/>
        <v>54000</v>
      </c>
      <c r="R37" s="273"/>
      <c r="S37" s="272" t="s">
        <v>568</v>
      </c>
    </row>
    <row r="38" spans="2:20" x14ac:dyDescent="0.75">
      <c r="B38" s="166" t="s">
        <v>392</v>
      </c>
      <c r="C38" s="289"/>
      <c r="D38" s="289"/>
      <c r="E38" s="274"/>
      <c r="F38" s="291">
        <f>'P&amp;L (QB)'!B24</f>
        <v>0</v>
      </c>
      <c r="G38" s="274"/>
      <c r="H38" s="279">
        <v>0</v>
      </c>
      <c r="I38" s="276"/>
      <c r="J38" s="551"/>
      <c r="K38" s="535" t="s">
        <v>102</v>
      </c>
      <c r="L38" s="280"/>
      <c r="M38" s="278"/>
      <c r="N38" s="273">
        <v>0</v>
      </c>
      <c r="O38" s="273">
        <v>0</v>
      </c>
      <c r="P38" s="273">
        <v>0</v>
      </c>
      <c r="Q38" s="273">
        <v>0</v>
      </c>
      <c r="R38" s="273"/>
      <c r="S38" s="272" t="s">
        <v>561</v>
      </c>
    </row>
    <row r="39" spans="2:20" x14ac:dyDescent="0.75">
      <c r="B39" s="166" t="s">
        <v>130</v>
      </c>
      <c r="C39" s="292">
        <f>437054</f>
        <v>437054</v>
      </c>
      <c r="D39" s="292">
        <v>426169</v>
      </c>
      <c r="E39" s="293">
        <v>300000</v>
      </c>
      <c r="F39" s="291">
        <f>'P&amp;L (QB)'!B25</f>
        <v>215782.15</v>
      </c>
      <c r="G39" s="274">
        <v>373831</v>
      </c>
      <c r="H39" s="279">
        <v>373831</v>
      </c>
      <c r="I39" s="276">
        <f t="shared" si="20"/>
        <v>0.57721844897828156</v>
      </c>
      <c r="J39" s="551"/>
      <c r="K39" s="535">
        <f t="shared" si="21"/>
        <v>158048.85</v>
      </c>
      <c r="L39" s="280"/>
      <c r="M39" s="294">
        <f>300000</f>
        <v>300000</v>
      </c>
      <c r="N39" s="273">
        <f>850000-C39-G39</f>
        <v>39115</v>
      </c>
      <c r="O39" s="272"/>
      <c r="P39" s="272"/>
      <c r="Q39" s="272"/>
      <c r="R39" s="272"/>
      <c r="S39" s="272" t="s">
        <v>569</v>
      </c>
      <c r="T39" s="295"/>
    </row>
    <row r="40" spans="2:20" x14ac:dyDescent="0.75">
      <c r="B40" s="282" t="s">
        <v>64</v>
      </c>
      <c r="C40" s="283">
        <f t="shared" ref="C40:G40" si="25">(((((((C32)+(C33))+(C34))+(C35))+(C36))+(C37))+(C38))+(C39)</f>
        <v>437054</v>
      </c>
      <c r="D40" s="283">
        <f t="shared" si="25"/>
        <v>426169</v>
      </c>
      <c r="E40" s="283">
        <f t="shared" si="25"/>
        <v>384332</v>
      </c>
      <c r="F40" s="284">
        <f>(((((((F32)+(F33))+(F34))+(F35))+(F36))+(F37))+(F38))+(F39)</f>
        <v>273969.44</v>
      </c>
      <c r="G40" s="284">
        <f t="shared" si="25"/>
        <v>447163</v>
      </c>
      <c r="H40" s="284">
        <f>(((((((H32)+(H33))+(H34))+(H35))+(H36))+(H37))+(H38))+(H39)</f>
        <v>447163</v>
      </c>
      <c r="I40" s="285">
        <f>F40/H40</f>
        <v>0.612683607543558</v>
      </c>
      <c r="J40" s="285"/>
      <c r="K40" s="513">
        <f>SUM(K33:K39)</f>
        <v>186077.56</v>
      </c>
      <c r="L40" s="286"/>
      <c r="M40" s="287">
        <f t="shared" ref="M40:Q40" si="26">(((((((M32)+(M33))+(M34))+(M35))+(M36))+(M37))+(M38))+(M39)</f>
        <v>373332</v>
      </c>
      <c r="N40" s="171">
        <f t="shared" si="26"/>
        <v>150050.79999999999</v>
      </c>
      <c r="O40" s="171">
        <f>(((((((O32)+(O33))+(O34))+(O35))+(O36))+(O37))+(O38))+(O39)</f>
        <v>147914.39999999997</v>
      </c>
      <c r="P40" s="171">
        <f t="shared" si="26"/>
        <v>184893</v>
      </c>
      <c r="Q40" s="171">
        <f t="shared" si="26"/>
        <v>221871.6</v>
      </c>
      <c r="R40" s="171"/>
      <c r="S40" s="288"/>
    </row>
    <row r="41" spans="2:20" x14ac:dyDescent="0.75">
      <c r="B41" s="166" t="s">
        <v>65</v>
      </c>
      <c r="C41" s="289"/>
      <c r="D41" s="289"/>
      <c r="E41" s="274"/>
      <c r="F41" s="290"/>
      <c r="G41" s="274"/>
      <c r="H41" s="279"/>
      <c r="I41" s="276"/>
      <c r="J41" s="551"/>
      <c r="K41" s="274"/>
      <c r="L41" s="280"/>
      <c r="M41" s="271"/>
      <c r="N41" s="272"/>
      <c r="O41" s="272"/>
      <c r="P41" s="272"/>
      <c r="Q41" s="272"/>
      <c r="R41" s="272"/>
      <c r="S41" s="272"/>
    </row>
    <row r="42" spans="2:20" x14ac:dyDescent="0.75">
      <c r="B42" s="166" t="s">
        <v>176</v>
      </c>
      <c r="C42" s="289"/>
      <c r="D42" s="289">
        <v>7786</v>
      </c>
      <c r="E42" s="274">
        <v>15000</v>
      </c>
      <c r="F42" s="291">
        <f>'P&amp;L (QB)'!B29</f>
        <v>11667.06</v>
      </c>
      <c r="G42" s="274">
        <v>15000</v>
      </c>
      <c r="H42" s="279">
        <v>15000</v>
      </c>
      <c r="I42" s="276">
        <f>F42/H42</f>
        <v>0.77780399999999994</v>
      </c>
      <c r="J42" s="551"/>
      <c r="K42" s="535">
        <f t="shared" ref="K42" si="27">G42-F42</f>
        <v>3332.9400000000005</v>
      </c>
      <c r="L42" s="280"/>
      <c r="M42" s="271">
        <v>15000</v>
      </c>
      <c r="N42" s="272"/>
      <c r="O42" s="272"/>
      <c r="P42" s="272"/>
      <c r="Q42" s="272"/>
      <c r="R42" s="272"/>
      <c r="S42" s="272" t="s">
        <v>570</v>
      </c>
    </row>
    <row r="43" spans="2:20" x14ac:dyDescent="0.75">
      <c r="B43" s="166" t="s">
        <v>107</v>
      </c>
      <c r="C43" s="289">
        <v>325000</v>
      </c>
      <c r="D43" s="289">
        <v>325000</v>
      </c>
      <c r="E43" s="274"/>
      <c r="F43" s="291">
        <f>'P&amp;L (QB)'!B30</f>
        <v>0</v>
      </c>
      <c r="G43" s="274"/>
      <c r="H43" s="279">
        <v>0</v>
      </c>
      <c r="I43" s="276"/>
      <c r="J43" s="551"/>
      <c r="K43" s="535"/>
      <c r="L43" s="280"/>
      <c r="M43" s="271"/>
      <c r="N43" s="272"/>
      <c r="O43" s="272"/>
      <c r="P43" s="272"/>
      <c r="Q43" s="272"/>
      <c r="R43" s="272"/>
      <c r="S43" s="272"/>
    </row>
    <row r="44" spans="2:20" x14ac:dyDescent="0.75">
      <c r="B44" s="282" t="s">
        <v>66</v>
      </c>
      <c r="C44" s="283">
        <f t="shared" ref="C44:H44" si="28">C42+C43</f>
        <v>325000</v>
      </c>
      <c r="D44" s="283">
        <f t="shared" si="28"/>
        <v>332786</v>
      </c>
      <c r="E44" s="283">
        <f t="shared" si="28"/>
        <v>15000</v>
      </c>
      <c r="F44" s="284">
        <f t="shared" si="28"/>
        <v>11667.06</v>
      </c>
      <c r="G44" s="284">
        <f t="shared" si="28"/>
        <v>15000</v>
      </c>
      <c r="H44" s="284">
        <f t="shared" si="28"/>
        <v>15000</v>
      </c>
      <c r="I44" s="285">
        <f>F44/H44</f>
        <v>0.77780399999999994</v>
      </c>
      <c r="J44" s="285"/>
      <c r="K44" s="513">
        <f>K42+K43</f>
        <v>3332.9400000000005</v>
      </c>
      <c r="L44" s="286"/>
      <c r="M44" s="287">
        <f t="shared" ref="M44:Q44" si="29">M42+M43</f>
        <v>15000</v>
      </c>
      <c r="N44" s="171">
        <f t="shared" si="29"/>
        <v>0</v>
      </c>
      <c r="O44" s="171">
        <f t="shared" si="29"/>
        <v>0</v>
      </c>
      <c r="P44" s="171">
        <f t="shared" si="29"/>
        <v>0</v>
      </c>
      <c r="Q44" s="171">
        <f t="shared" si="29"/>
        <v>0</v>
      </c>
      <c r="R44" s="171"/>
      <c r="S44" s="288"/>
    </row>
    <row r="45" spans="2:20" outlineLevel="1" x14ac:dyDescent="0.75">
      <c r="B45" s="166" t="s">
        <v>395</v>
      </c>
      <c r="C45" s="289"/>
      <c r="D45" s="289"/>
      <c r="E45" s="274"/>
      <c r="F45" s="290"/>
      <c r="G45" s="274"/>
      <c r="H45" s="279"/>
      <c r="I45" s="276"/>
      <c r="J45" s="551"/>
      <c r="K45" s="274"/>
      <c r="L45" s="280"/>
      <c r="M45" s="278"/>
      <c r="N45" s="273"/>
      <c r="O45" s="273"/>
      <c r="P45" s="273"/>
      <c r="Q45" s="273"/>
      <c r="R45" s="273"/>
      <c r="S45" s="272"/>
    </row>
    <row r="46" spans="2:20" outlineLevel="1" x14ac:dyDescent="0.75">
      <c r="B46" s="166" t="s">
        <v>396</v>
      </c>
      <c r="C46" s="292">
        <v>0</v>
      </c>
      <c r="D46" s="292"/>
      <c r="E46" s="293"/>
      <c r="F46" s="296">
        <f>'P&amp;L (QB)'!B34</f>
        <v>0</v>
      </c>
      <c r="G46" s="293"/>
      <c r="H46" s="297">
        <f>G46</f>
        <v>0</v>
      </c>
      <c r="I46" s="298"/>
      <c r="J46" s="552"/>
      <c r="K46" s="536"/>
      <c r="L46" s="299"/>
      <c r="M46" s="300">
        <v>0</v>
      </c>
      <c r="N46" s="168">
        <v>1</v>
      </c>
      <c r="O46" s="168">
        <v>2</v>
      </c>
      <c r="P46" s="168">
        <v>3</v>
      </c>
      <c r="Q46" s="168">
        <v>4</v>
      </c>
      <c r="R46" s="168"/>
      <c r="S46" s="272"/>
    </row>
    <row r="47" spans="2:20" outlineLevel="1" x14ac:dyDescent="0.75">
      <c r="B47" s="282" t="s">
        <v>397</v>
      </c>
      <c r="C47" s="283">
        <f>C46</f>
        <v>0</v>
      </c>
      <c r="D47" s="283">
        <f>D46</f>
        <v>0</v>
      </c>
      <c r="E47" s="283">
        <f t="shared" ref="E47:K47" si="30">E46</f>
        <v>0</v>
      </c>
      <c r="F47" s="283">
        <f>F46</f>
        <v>0</v>
      </c>
      <c r="G47" s="283">
        <f t="shared" si="30"/>
        <v>0</v>
      </c>
      <c r="H47" s="283">
        <f>H46</f>
        <v>0</v>
      </c>
      <c r="I47" s="285"/>
      <c r="J47" s="285"/>
      <c r="K47" s="512">
        <f t="shared" si="30"/>
        <v>0</v>
      </c>
      <c r="L47" s="301"/>
      <c r="M47" s="287">
        <f t="shared" ref="M47:Q47" si="31">(M45)+(M46)</f>
        <v>0</v>
      </c>
      <c r="N47" s="171">
        <f t="shared" si="31"/>
        <v>1</v>
      </c>
      <c r="O47" s="171">
        <f t="shared" si="31"/>
        <v>2</v>
      </c>
      <c r="P47" s="171">
        <f t="shared" si="31"/>
        <v>3</v>
      </c>
      <c r="Q47" s="171">
        <f t="shared" si="31"/>
        <v>4</v>
      </c>
      <c r="R47" s="171"/>
      <c r="S47" s="288"/>
    </row>
    <row r="48" spans="2:20" outlineLevel="1" x14ac:dyDescent="0.75">
      <c r="B48" s="166" t="s">
        <v>398</v>
      </c>
      <c r="C48" s="289"/>
      <c r="D48" s="289"/>
      <c r="E48" s="274"/>
      <c r="F48" s="290"/>
      <c r="G48" s="274"/>
      <c r="H48" s="279"/>
      <c r="I48" s="276"/>
      <c r="J48" s="551"/>
      <c r="K48" s="535"/>
      <c r="L48" s="280"/>
      <c r="M48" s="278"/>
      <c r="N48" s="273"/>
      <c r="O48" s="273"/>
      <c r="P48" s="273"/>
      <c r="Q48" s="273"/>
      <c r="R48" s="273"/>
      <c r="S48" s="272"/>
    </row>
    <row r="49" spans="2:19" outlineLevel="1" x14ac:dyDescent="0.75">
      <c r="B49" s="166" t="s">
        <v>399</v>
      </c>
      <c r="C49" s="292">
        <v>0</v>
      </c>
      <c r="D49" s="292"/>
      <c r="E49" s="293"/>
      <c r="F49" s="275">
        <f>'P&amp;L (QB)'!B37</f>
        <v>0.48</v>
      </c>
      <c r="G49" s="293">
        <v>0</v>
      </c>
      <c r="H49" s="297">
        <f>G49</f>
        <v>0</v>
      </c>
      <c r="I49" s="298"/>
      <c r="J49" s="552"/>
      <c r="K49" s="536">
        <f>G49-F49</f>
        <v>-0.48</v>
      </c>
      <c r="L49" s="299"/>
      <c r="M49" s="300">
        <v>0</v>
      </c>
      <c r="N49" s="168">
        <v>1</v>
      </c>
      <c r="O49" s="168">
        <v>2</v>
      </c>
      <c r="P49" s="168">
        <v>3</v>
      </c>
      <c r="Q49" s="168">
        <v>4</v>
      </c>
      <c r="R49" s="168"/>
      <c r="S49" s="272"/>
    </row>
    <row r="50" spans="2:19" outlineLevel="1" x14ac:dyDescent="0.75">
      <c r="B50" s="282" t="s">
        <v>400</v>
      </c>
      <c r="C50" s="283">
        <f>C49</f>
        <v>0</v>
      </c>
      <c r="D50" s="283">
        <f>D49</f>
        <v>0</v>
      </c>
      <c r="E50" s="283">
        <f t="shared" ref="E50:K50" si="32">E49</f>
        <v>0</v>
      </c>
      <c r="F50" s="283">
        <f>F49</f>
        <v>0.48</v>
      </c>
      <c r="G50" s="283">
        <f t="shared" si="32"/>
        <v>0</v>
      </c>
      <c r="H50" s="283">
        <f>H49</f>
        <v>0</v>
      </c>
      <c r="I50" s="285"/>
      <c r="J50" s="285"/>
      <c r="K50" s="512">
        <f t="shared" si="32"/>
        <v>-0.48</v>
      </c>
      <c r="L50" s="301"/>
      <c r="M50" s="287">
        <f t="shared" ref="M50:Q50" si="33">(M48)+(M49)</f>
        <v>0</v>
      </c>
      <c r="N50" s="171">
        <f t="shared" si="33"/>
        <v>1</v>
      </c>
      <c r="O50" s="171">
        <f t="shared" si="33"/>
        <v>2</v>
      </c>
      <c r="P50" s="171">
        <f t="shared" si="33"/>
        <v>3</v>
      </c>
      <c r="Q50" s="171">
        <f t="shared" si="33"/>
        <v>4</v>
      </c>
      <c r="R50" s="171"/>
      <c r="S50" s="288"/>
    </row>
    <row r="51" spans="2:19" outlineLevel="1" x14ac:dyDescent="0.75">
      <c r="B51" s="166" t="s">
        <v>401</v>
      </c>
      <c r="C51" s="289"/>
      <c r="D51" s="289"/>
      <c r="E51" s="274"/>
      <c r="F51" s="290"/>
      <c r="G51" s="274"/>
      <c r="H51" s="279"/>
      <c r="I51" s="276"/>
      <c r="J51" s="551"/>
      <c r="K51" s="274"/>
      <c r="L51" s="280"/>
      <c r="M51" s="278"/>
      <c r="N51" s="273"/>
      <c r="O51" s="273"/>
      <c r="P51" s="273"/>
      <c r="Q51" s="273"/>
      <c r="R51" s="273"/>
      <c r="S51" s="272"/>
    </row>
    <row r="52" spans="2:19" outlineLevel="1" x14ac:dyDescent="0.75">
      <c r="B52" s="166" t="s">
        <v>402</v>
      </c>
      <c r="C52" s="292">
        <v>0</v>
      </c>
      <c r="D52" s="292">
        <v>1620</v>
      </c>
      <c r="E52" s="293"/>
      <c r="F52" s="296">
        <f>'P&amp;L (QB)'!B40</f>
        <v>0</v>
      </c>
      <c r="G52" s="293"/>
      <c r="H52" s="297">
        <f t="shared" ref="H52:H55" si="34">G52</f>
        <v>0</v>
      </c>
      <c r="I52" s="298"/>
      <c r="J52" s="552"/>
      <c r="K52" s="536">
        <f t="shared" ref="K52:K55" si="35">G52-F52</f>
        <v>0</v>
      </c>
      <c r="L52" s="299"/>
      <c r="M52" s="300">
        <v>0</v>
      </c>
      <c r="N52" s="168">
        <v>0</v>
      </c>
      <c r="O52" s="168">
        <v>0</v>
      </c>
      <c r="P52" s="168">
        <v>0</v>
      </c>
      <c r="Q52" s="168">
        <v>0</v>
      </c>
      <c r="R52" s="168"/>
      <c r="S52" s="272"/>
    </row>
    <row r="53" spans="2:19" outlineLevel="1" x14ac:dyDescent="0.75">
      <c r="B53" s="166" t="s">
        <v>403</v>
      </c>
      <c r="C53" s="292">
        <v>0</v>
      </c>
      <c r="D53" s="292"/>
      <c r="E53" s="293"/>
      <c r="F53" s="296">
        <f>'P&amp;L (QB)'!B41</f>
        <v>0</v>
      </c>
      <c r="G53" s="293"/>
      <c r="H53" s="297">
        <f t="shared" si="34"/>
        <v>0</v>
      </c>
      <c r="I53" s="298"/>
      <c r="J53" s="552"/>
      <c r="K53" s="536">
        <f t="shared" si="35"/>
        <v>0</v>
      </c>
      <c r="L53" s="299"/>
      <c r="M53" s="300">
        <v>0</v>
      </c>
      <c r="N53" s="168">
        <v>0</v>
      </c>
      <c r="O53" s="168">
        <v>0</v>
      </c>
      <c r="P53" s="168">
        <v>0</v>
      </c>
      <c r="Q53" s="168">
        <v>0</v>
      </c>
      <c r="R53" s="168"/>
      <c r="S53" s="272"/>
    </row>
    <row r="54" spans="2:19" outlineLevel="1" x14ac:dyDescent="0.75">
      <c r="B54" s="166" t="s">
        <v>404</v>
      </c>
      <c r="C54" s="292">
        <v>0</v>
      </c>
      <c r="D54" s="292"/>
      <c r="E54" s="293"/>
      <c r="F54" s="296">
        <f>'P&amp;L (QB)'!B42</f>
        <v>0</v>
      </c>
      <c r="G54" s="293"/>
      <c r="H54" s="297">
        <f t="shared" si="34"/>
        <v>0</v>
      </c>
      <c r="I54" s="298"/>
      <c r="J54" s="552"/>
      <c r="K54" s="536">
        <f t="shared" si="35"/>
        <v>0</v>
      </c>
      <c r="L54" s="299"/>
      <c r="M54" s="300">
        <v>0</v>
      </c>
      <c r="N54" s="168">
        <v>0</v>
      </c>
      <c r="O54" s="168">
        <v>0</v>
      </c>
      <c r="P54" s="168">
        <v>0</v>
      </c>
      <c r="Q54" s="168">
        <v>0</v>
      </c>
      <c r="R54" s="168"/>
      <c r="S54" s="272"/>
    </row>
    <row r="55" spans="2:19" outlineLevel="1" x14ac:dyDescent="0.75">
      <c r="B55" s="166" t="s">
        <v>405</v>
      </c>
      <c r="C55" s="292">
        <v>0</v>
      </c>
      <c r="D55" s="292"/>
      <c r="E55" s="293"/>
      <c r="F55" s="296">
        <v>0</v>
      </c>
      <c r="G55" s="293"/>
      <c r="H55" s="297">
        <f t="shared" si="34"/>
        <v>0</v>
      </c>
      <c r="I55" s="298"/>
      <c r="J55" s="552"/>
      <c r="K55" s="536">
        <f t="shared" si="35"/>
        <v>0</v>
      </c>
      <c r="L55" s="299"/>
      <c r="M55" s="300">
        <v>0</v>
      </c>
      <c r="N55" s="168">
        <v>0</v>
      </c>
      <c r="O55" s="168">
        <v>0</v>
      </c>
      <c r="P55" s="168">
        <v>0</v>
      </c>
      <c r="Q55" s="168">
        <v>0</v>
      </c>
      <c r="R55" s="168"/>
      <c r="S55" s="272"/>
    </row>
    <row r="56" spans="2:19" outlineLevel="1" x14ac:dyDescent="0.75">
      <c r="B56" s="282" t="s">
        <v>406</v>
      </c>
      <c r="C56" s="302">
        <f>((((C51)+(C52))+(C53))+(C54))+(C55)</f>
        <v>0</v>
      </c>
      <c r="D56" s="302">
        <f t="shared" ref="D56:K56" si="36">((((D51)+(D52))+(D53))+(D54))+(D55)</f>
        <v>1620</v>
      </c>
      <c r="E56" s="302">
        <f t="shared" si="36"/>
        <v>0</v>
      </c>
      <c r="F56" s="302">
        <f>((((F51)+(F52))+(F53))+(F54))+(F55)</f>
        <v>0</v>
      </c>
      <c r="G56" s="302">
        <f t="shared" si="36"/>
        <v>0</v>
      </c>
      <c r="H56" s="302">
        <f>((((H51)+(H52))+(H53))+(H54))+(H55)</f>
        <v>0</v>
      </c>
      <c r="I56" s="285"/>
      <c r="J56" s="285"/>
      <c r="K56" s="541">
        <f t="shared" si="36"/>
        <v>0</v>
      </c>
      <c r="L56" s="303"/>
      <c r="M56" s="287">
        <f t="shared" ref="M56:Q56" si="37">((((M51)+(M52))+(M53))+(M54))+(M55)</f>
        <v>0</v>
      </c>
      <c r="N56" s="304">
        <f t="shared" si="37"/>
        <v>0</v>
      </c>
      <c r="O56" s="304">
        <f t="shared" si="37"/>
        <v>0</v>
      </c>
      <c r="P56" s="304">
        <f t="shared" si="37"/>
        <v>0</v>
      </c>
      <c r="Q56" s="304">
        <f t="shared" si="37"/>
        <v>0</v>
      </c>
      <c r="R56" s="304"/>
      <c r="S56" s="305"/>
    </row>
    <row r="57" spans="2:19" x14ac:dyDescent="0.75">
      <c r="B57" s="282" t="s">
        <v>11</v>
      </c>
      <c r="C57" s="283">
        <f t="shared" ref="C57:G57" si="38">(((((C31)+(C40))+(C44))+(C47))+(C50))+(C56)</f>
        <v>762054</v>
      </c>
      <c r="D57" s="283">
        <f t="shared" si="38"/>
        <v>760575</v>
      </c>
      <c r="E57" s="283">
        <f t="shared" si="38"/>
        <v>3138617.8000000003</v>
      </c>
      <c r="F57" s="284">
        <f>(((((F31)+(F40))+(F44))+(F47))+(F50))+(F56)</f>
        <v>1969113.72</v>
      </c>
      <c r="G57" s="284">
        <f t="shared" si="38"/>
        <v>3026229.8000000003</v>
      </c>
      <c r="H57" s="284">
        <f>(((((H31)+(H40))+(H44))+(H47))+(H50))+(H56)</f>
        <v>3026229.8000000003</v>
      </c>
      <c r="I57" s="285">
        <f>F57/H57</f>
        <v>0.65068215242609795</v>
      </c>
      <c r="J57" s="285"/>
      <c r="K57" s="513">
        <f>(((((K31)+(K40))+(K44))+(K47))+(K50))+(K56)</f>
        <v>1070000.0799999998</v>
      </c>
      <c r="L57" s="306"/>
      <c r="M57" s="287">
        <f t="shared" ref="M57:Q57" si="39">(((((M31)+(M40))+(M44))+(M47))+(M50))+(M56)</f>
        <v>2964701.6</v>
      </c>
      <c r="N57" s="304">
        <f t="shared" si="39"/>
        <v>3828998.94</v>
      </c>
      <c r="O57" s="304">
        <f t="shared" si="39"/>
        <v>5090379.3512000004</v>
      </c>
      <c r="P57" s="304">
        <f t="shared" si="39"/>
        <v>6409939.4708899995</v>
      </c>
      <c r="Q57" s="304">
        <f t="shared" si="39"/>
        <v>7748848.8747186791</v>
      </c>
      <c r="R57" s="304"/>
      <c r="S57" s="305"/>
    </row>
    <row r="58" spans="2:19" x14ac:dyDescent="0.75">
      <c r="B58" s="166" t="s">
        <v>1</v>
      </c>
      <c r="C58" s="307">
        <f t="shared" ref="C58:G58" si="40">(C57)-(0)</f>
        <v>762054</v>
      </c>
      <c r="D58" s="307">
        <f t="shared" si="40"/>
        <v>760575</v>
      </c>
      <c r="E58" s="308">
        <f t="shared" si="40"/>
        <v>3138617.8000000003</v>
      </c>
      <c r="F58" s="309">
        <f>(F57)-(0)</f>
        <v>1969113.72</v>
      </c>
      <c r="G58" s="310">
        <f t="shared" si="40"/>
        <v>3026229.8000000003</v>
      </c>
      <c r="H58" s="311">
        <f>(H57)-(0)</f>
        <v>3026229.8000000003</v>
      </c>
      <c r="I58" s="312">
        <f>F58/H58</f>
        <v>0.65068215242609795</v>
      </c>
      <c r="J58" s="553"/>
      <c r="K58" s="518">
        <f>(K57)-(0)</f>
        <v>1070000.0799999998</v>
      </c>
      <c r="L58" s="313"/>
      <c r="M58" s="287">
        <f t="shared" ref="M58:Q58" si="41">(M57)-(0)</f>
        <v>2964701.6</v>
      </c>
      <c r="N58" s="314">
        <f t="shared" si="41"/>
        <v>3828998.94</v>
      </c>
      <c r="O58" s="314">
        <f t="shared" si="41"/>
        <v>5090379.3512000004</v>
      </c>
      <c r="P58" s="314">
        <f t="shared" si="41"/>
        <v>6409939.4708899995</v>
      </c>
      <c r="Q58" s="314">
        <f t="shared" si="41"/>
        <v>7748848.8747186791</v>
      </c>
      <c r="R58" s="314"/>
      <c r="S58" s="272"/>
    </row>
    <row r="59" spans="2:19" x14ac:dyDescent="0.75">
      <c r="B59" s="166" t="s">
        <v>12</v>
      </c>
      <c r="C59" s="315"/>
      <c r="D59" s="315"/>
      <c r="E59" s="316"/>
      <c r="F59" s="291"/>
      <c r="G59" s="316"/>
      <c r="H59" s="317"/>
      <c r="I59" s="276"/>
      <c r="J59" s="551"/>
      <c r="K59" s="316"/>
      <c r="L59" s="318"/>
      <c r="M59" s="271"/>
      <c r="N59" s="272"/>
      <c r="O59" s="272"/>
      <c r="P59" s="272"/>
      <c r="Q59" s="272"/>
      <c r="R59" s="272"/>
      <c r="S59" s="272"/>
    </row>
    <row r="60" spans="2:19" x14ac:dyDescent="0.75">
      <c r="B60" s="319" t="s">
        <v>131</v>
      </c>
      <c r="C60" s="315"/>
      <c r="D60" s="315"/>
      <c r="E60" s="316"/>
      <c r="F60" s="291"/>
      <c r="G60" s="316"/>
      <c r="H60" s="317"/>
      <c r="I60" s="276"/>
      <c r="J60" s="551"/>
      <c r="K60" s="316"/>
      <c r="L60" s="318"/>
      <c r="M60" s="271"/>
      <c r="N60" s="272"/>
      <c r="O60" s="272"/>
      <c r="P60" s="272"/>
      <c r="Q60" s="272"/>
      <c r="R60" s="272"/>
      <c r="S60" s="272"/>
    </row>
    <row r="61" spans="2:19" x14ac:dyDescent="0.75">
      <c r="B61" s="319" t="s">
        <v>132</v>
      </c>
      <c r="C61" s="315"/>
      <c r="D61" s="315"/>
      <c r="E61" s="316"/>
      <c r="F61" s="291"/>
      <c r="G61" s="316"/>
      <c r="H61" s="317"/>
      <c r="I61" s="276"/>
      <c r="J61" s="551"/>
      <c r="K61" s="316"/>
      <c r="L61" s="318"/>
      <c r="M61" s="271"/>
      <c r="N61" s="272"/>
      <c r="O61" s="272"/>
      <c r="P61" s="272"/>
      <c r="Q61" s="272"/>
      <c r="R61" s="272"/>
      <c r="S61" s="272"/>
    </row>
    <row r="62" spans="2:19" x14ac:dyDescent="0.75">
      <c r="B62" s="319" t="s">
        <v>133</v>
      </c>
      <c r="C62" s="320">
        <v>113750</v>
      </c>
      <c r="D62" s="320">
        <v>113769.27</v>
      </c>
      <c r="E62" s="321">
        <v>133900</v>
      </c>
      <c r="F62" s="275">
        <f>'P&amp;L (QB)'!B59</f>
        <v>89266.72</v>
      </c>
      <c r="G62" s="321" t="e">
        <v>#VALUE!</v>
      </c>
      <c r="H62" s="322">
        <v>133900</v>
      </c>
      <c r="I62" s="298">
        <f>F62/H62</f>
        <v>0.66666706497386108</v>
      </c>
      <c r="J62" s="552"/>
      <c r="K62" s="537">
        <f>H62-F62</f>
        <v>44633.279999999999</v>
      </c>
      <c r="L62" s="323"/>
      <c r="M62" s="300" t="e">
        <v>#VALUE!</v>
      </c>
      <c r="N62" s="168" t="e">
        <v>#VALUE!</v>
      </c>
      <c r="O62" s="168" t="e">
        <v>#VALUE!</v>
      </c>
      <c r="P62" s="168" t="e">
        <v>#VALUE!</v>
      </c>
      <c r="Q62" s="168" t="e">
        <v>#VALUE!</v>
      </c>
      <c r="R62" s="168"/>
      <c r="S62" s="272"/>
    </row>
    <row r="63" spans="2:19" x14ac:dyDescent="0.75">
      <c r="B63" s="319" t="s">
        <v>416</v>
      </c>
      <c r="C63" s="320"/>
      <c r="D63" s="320"/>
      <c r="E63" s="321">
        <v>0</v>
      </c>
      <c r="F63" s="275">
        <f>'P&amp;L (QB)'!B60</f>
        <v>0</v>
      </c>
      <c r="G63" s="321"/>
      <c r="H63" s="322">
        <v>0</v>
      </c>
      <c r="I63" s="298"/>
      <c r="J63" s="552"/>
      <c r="K63" s="537"/>
      <c r="L63" s="323"/>
      <c r="M63" s="300" t="e">
        <v>#VALUE!</v>
      </c>
      <c r="N63" s="168" t="e">
        <v>#VALUE!</v>
      </c>
      <c r="O63" s="168" t="e">
        <v>#VALUE!</v>
      </c>
      <c r="P63" s="168" t="e">
        <v>#VALUE!</v>
      </c>
      <c r="Q63" s="168" t="e">
        <v>#VALUE!</v>
      </c>
      <c r="R63" s="168"/>
      <c r="S63" s="272" t="s">
        <v>571</v>
      </c>
    </row>
    <row r="64" spans="2:19" x14ac:dyDescent="0.75">
      <c r="B64" s="319" t="s">
        <v>572</v>
      </c>
      <c r="C64" s="320"/>
      <c r="D64" s="320"/>
      <c r="E64" s="321">
        <v>0</v>
      </c>
      <c r="F64" s="275"/>
      <c r="G64" s="321"/>
      <c r="H64" s="322">
        <v>0</v>
      </c>
      <c r="I64" s="298"/>
      <c r="J64" s="552"/>
      <c r="K64" s="537"/>
      <c r="L64" s="323"/>
      <c r="M64" s="300" t="e">
        <v>#VALUE!</v>
      </c>
      <c r="N64" s="168" t="e">
        <v>#VALUE!</v>
      </c>
      <c r="O64" s="168" t="e">
        <v>#VALUE!</v>
      </c>
      <c r="P64" s="168" t="e">
        <v>#VALUE!</v>
      </c>
      <c r="Q64" s="168" t="e">
        <v>#VALUE!</v>
      </c>
      <c r="R64" s="168"/>
      <c r="S64" s="272" t="s">
        <v>573</v>
      </c>
    </row>
    <row r="65" spans="2:27" x14ac:dyDescent="0.75">
      <c r="B65" s="319" t="s">
        <v>255</v>
      </c>
      <c r="C65" s="320"/>
      <c r="D65" s="320"/>
      <c r="E65" s="321">
        <v>80000</v>
      </c>
      <c r="F65" s="275">
        <f>'P&amp;L (QB)'!B62</f>
        <v>50307.63</v>
      </c>
      <c r="G65" s="321" t="e">
        <v>#VALUE!</v>
      </c>
      <c r="H65" s="322">
        <v>80000</v>
      </c>
      <c r="I65" s="298">
        <f>F65/H65</f>
        <v>0.62884537499999993</v>
      </c>
      <c r="J65" s="552"/>
      <c r="K65" s="537">
        <f t="shared" ref="K65:K66" si="42">H65-F65</f>
        <v>29692.370000000003</v>
      </c>
      <c r="L65" s="323"/>
      <c r="M65" s="300" t="e">
        <v>#VALUE!</v>
      </c>
      <c r="N65" s="168" t="e">
        <v>#VALUE!</v>
      </c>
      <c r="O65" s="168" t="e">
        <v>#VALUE!</v>
      </c>
      <c r="P65" s="168" t="e">
        <v>#VALUE!</v>
      </c>
      <c r="Q65" s="168" t="e">
        <v>#VALUE!</v>
      </c>
      <c r="R65" s="168"/>
      <c r="S65" s="272"/>
    </row>
    <row r="66" spans="2:27" x14ac:dyDescent="0.75">
      <c r="B66" s="319" t="s">
        <v>134</v>
      </c>
      <c r="C66" s="320">
        <v>42500</v>
      </c>
      <c r="D66" s="320">
        <v>20123.73</v>
      </c>
      <c r="E66" s="321">
        <v>90000</v>
      </c>
      <c r="F66" s="275">
        <f>'P&amp;L (QB)'!B63</f>
        <v>51109.01</v>
      </c>
      <c r="G66" s="321" t="e">
        <v>#VALUE!</v>
      </c>
      <c r="H66" s="322">
        <v>86750</v>
      </c>
      <c r="I66" s="298">
        <f t="shared" ref="I66" si="43">F66/H66</f>
        <v>0.58915285302593667</v>
      </c>
      <c r="J66" s="552"/>
      <c r="K66" s="537">
        <f t="shared" si="42"/>
        <v>35640.99</v>
      </c>
      <c r="L66" s="323"/>
      <c r="M66" s="300" t="e">
        <v>#VALUE!</v>
      </c>
      <c r="N66" s="168" t="e">
        <v>#VALUE!</v>
      </c>
      <c r="O66" s="168" t="e">
        <v>#VALUE!</v>
      </c>
      <c r="P66" s="168" t="e">
        <v>#VALUE!</v>
      </c>
      <c r="Q66" s="168" t="e">
        <v>#VALUE!</v>
      </c>
      <c r="R66" s="168"/>
      <c r="S66" s="272"/>
    </row>
    <row r="67" spans="2:27" x14ac:dyDescent="0.75">
      <c r="B67" s="319" t="s">
        <v>418</v>
      </c>
      <c r="C67" s="320"/>
      <c r="D67" s="320"/>
      <c r="E67" s="321">
        <v>0</v>
      </c>
      <c r="F67" s="275">
        <f>'P&amp;L (QB)'!B64</f>
        <v>0</v>
      </c>
      <c r="G67" s="321"/>
      <c r="H67" s="322">
        <v>0</v>
      </c>
      <c r="I67" s="298"/>
      <c r="J67" s="552"/>
      <c r="K67" s="537"/>
      <c r="L67" s="323"/>
      <c r="M67" s="300" t="e">
        <v>#VALUE!</v>
      </c>
      <c r="N67" s="168" t="e">
        <v>#VALUE!</v>
      </c>
      <c r="O67" s="168" t="e">
        <v>#VALUE!</v>
      </c>
      <c r="P67" s="168" t="e">
        <v>#VALUE!</v>
      </c>
      <c r="Q67" s="168" t="e">
        <v>#VALUE!</v>
      </c>
      <c r="R67" s="168"/>
      <c r="S67" s="272" t="s">
        <v>571</v>
      </c>
    </row>
    <row r="68" spans="2:27" x14ac:dyDescent="0.75">
      <c r="B68" s="319" t="s">
        <v>135</v>
      </c>
      <c r="C68" s="320">
        <v>12500</v>
      </c>
      <c r="D68" s="320">
        <v>13162.66</v>
      </c>
      <c r="E68" s="321">
        <v>52650</v>
      </c>
      <c r="F68" s="275">
        <f>'P&amp;L (QB)'!B66</f>
        <v>35100</v>
      </c>
      <c r="G68" s="321" t="e">
        <v>#VALUE!</v>
      </c>
      <c r="H68" s="322">
        <v>52650</v>
      </c>
      <c r="I68" s="298">
        <f>F68/H68</f>
        <v>0.66666666666666663</v>
      </c>
      <c r="J68" s="552"/>
      <c r="K68" s="537">
        <f>H68-F68</f>
        <v>17550</v>
      </c>
      <c r="L68" s="323"/>
      <c r="M68" s="300" t="e">
        <v>#VALUE!</v>
      </c>
      <c r="N68" s="168" t="e">
        <v>#VALUE!</v>
      </c>
      <c r="O68" s="168" t="e">
        <v>#VALUE!</v>
      </c>
      <c r="P68" s="168" t="e">
        <v>#VALUE!</v>
      </c>
      <c r="Q68" s="168" t="e">
        <v>#VALUE!</v>
      </c>
      <c r="R68" s="168"/>
      <c r="S68" s="272"/>
    </row>
    <row r="69" spans="2:27" x14ac:dyDescent="0.75">
      <c r="B69" s="319" t="s">
        <v>420</v>
      </c>
      <c r="C69" s="320"/>
      <c r="D69" s="320"/>
      <c r="E69" s="321">
        <v>0</v>
      </c>
      <c r="F69" s="275">
        <f>'P&amp;L (QB)'!B67</f>
        <v>0</v>
      </c>
      <c r="G69" s="321"/>
      <c r="H69" s="322">
        <v>0</v>
      </c>
      <c r="I69" s="298"/>
      <c r="J69" s="552"/>
      <c r="K69" s="537"/>
      <c r="L69" s="323"/>
      <c r="M69" s="300" t="e">
        <v>#VALUE!</v>
      </c>
      <c r="N69" s="168" t="e">
        <v>#VALUE!</v>
      </c>
      <c r="O69" s="168" t="e">
        <v>#VALUE!</v>
      </c>
      <c r="P69" s="168" t="e">
        <v>#VALUE!</v>
      </c>
      <c r="Q69" s="168" t="e">
        <v>#VALUE!</v>
      </c>
      <c r="R69" s="168"/>
      <c r="S69" s="272" t="s">
        <v>571</v>
      </c>
    </row>
    <row r="70" spans="2:27" x14ac:dyDescent="0.75">
      <c r="B70" s="319" t="s">
        <v>421</v>
      </c>
      <c r="C70" s="320"/>
      <c r="D70" s="320"/>
      <c r="E70" s="321">
        <v>0</v>
      </c>
      <c r="F70" s="275">
        <f>'P&amp;L (QB)'!B68</f>
        <v>0</v>
      </c>
      <c r="G70" s="321"/>
      <c r="H70" s="322">
        <v>0</v>
      </c>
      <c r="I70" s="298"/>
      <c r="J70" s="552"/>
      <c r="K70" s="537"/>
      <c r="L70" s="323"/>
      <c r="M70" s="300" t="e">
        <v>#VALUE!</v>
      </c>
      <c r="N70" s="168" t="e">
        <v>#VALUE!</v>
      </c>
      <c r="O70" s="168" t="e">
        <v>#VALUE!</v>
      </c>
      <c r="P70" s="168" t="e">
        <v>#VALUE!</v>
      </c>
      <c r="Q70" s="168" t="e">
        <v>#VALUE!</v>
      </c>
      <c r="R70" s="168"/>
      <c r="S70" s="272" t="s">
        <v>571</v>
      </c>
      <c r="T70" s="295"/>
    </row>
    <row r="71" spans="2:27" x14ac:dyDescent="0.75">
      <c r="B71" s="319" t="s">
        <v>422</v>
      </c>
      <c r="C71" s="320"/>
      <c r="D71" s="320"/>
      <c r="E71" s="321">
        <v>0</v>
      </c>
      <c r="F71" s="275">
        <f>'P&amp;L (QB)'!B69</f>
        <v>0</v>
      </c>
      <c r="G71" s="321"/>
      <c r="H71" s="322">
        <v>0</v>
      </c>
      <c r="I71" s="298"/>
      <c r="J71" s="552"/>
      <c r="K71" s="537"/>
      <c r="L71" s="323"/>
      <c r="M71" s="300" t="e">
        <v>#VALUE!</v>
      </c>
      <c r="N71" s="168" t="e">
        <v>#VALUE!</v>
      </c>
      <c r="O71" s="168" t="e">
        <v>#VALUE!</v>
      </c>
      <c r="P71" s="168" t="e">
        <v>#VALUE!</v>
      </c>
      <c r="Q71" s="168" t="e">
        <v>#VALUE!</v>
      </c>
      <c r="R71" s="168"/>
      <c r="S71" s="272" t="s">
        <v>571</v>
      </c>
    </row>
    <row r="72" spans="2:27" x14ac:dyDescent="0.75">
      <c r="B72" s="319" t="s">
        <v>423</v>
      </c>
      <c r="C72" s="320"/>
      <c r="D72" s="320"/>
      <c r="E72" s="321">
        <v>0</v>
      </c>
      <c r="F72" s="275">
        <f>'P&amp;L (QB)'!B70</f>
        <v>2910</v>
      </c>
      <c r="G72" s="321" t="e">
        <v>#VALUE!</v>
      </c>
      <c r="H72" s="322">
        <v>16500</v>
      </c>
      <c r="I72" s="298">
        <f>F72/H72</f>
        <v>0.17636363636363636</v>
      </c>
      <c r="J72" s="552"/>
      <c r="K72" s="537">
        <f>H72-F72</f>
        <v>13590</v>
      </c>
      <c r="L72" s="323"/>
      <c r="M72" s="300"/>
      <c r="N72" s="168"/>
      <c r="O72" s="168"/>
      <c r="P72" s="168"/>
      <c r="Q72" s="168"/>
      <c r="R72" s="168"/>
      <c r="S72" s="272"/>
    </row>
    <row r="73" spans="2:27" x14ac:dyDescent="0.75">
      <c r="B73" s="324" t="s">
        <v>136</v>
      </c>
      <c r="C73" s="283">
        <f>((((((((((C61)+(C62))+(C63))+(C64))+(C65))+(C66))+(C67))+(C68))+(C69))+(C70))+(C71)+C72</f>
        <v>168750</v>
      </c>
      <c r="D73" s="283">
        <f t="shared" ref="D73:K73" si="44">((((((((((D61)+(D62))+(D63))+(D64))+(D65))+(D66))+(D67))+(D68))+(D69))+(D70))+(D71)+D72</f>
        <v>147055.66</v>
      </c>
      <c r="E73" s="283">
        <f t="shared" si="44"/>
        <v>356550</v>
      </c>
      <c r="F73" s="283">
        <f>((((((((((F61)+(F62))+(F63))+(F64))+(F65))+(F66))+(F67))+(F68))+(F69))+(F70))+(F71)+F72</f>
        <v>228693.36000000002</v>
      </c>
      <c r="G73" s="283" t="e">
        <f t="shared" si="44"/>
        <v>#VALUE!</v>
      </c>
      <c r="H73" s="283">
        <f>((((((((((H61)+(H62))+(H63))+(H64))+(H65))+(H66))+(H67))+(H68))+(H69))+(H70))+(H71)+H72</f>
        <v>369800</v>
      </c>
      <c r="I73" s="325">
        <f>F73/H73</f>
        <v>0.61842444564629528</v>
      </c>
      <c r="J73" s="325"/>
      <c r="K73" s="512">
        <f t="shared" si="44"/>
        <v>141106.63999999998</v>
      </c>
      <c r="L73" s="326"/>
      <c r="M73" s="287" t="e">
        <f t="shared" ref="M73:Q73" si="45">((((((((((M61)+(M62))+(M63))+(M64))+(M65))+(M66))+(M67))+(M68))+(M69))+(M70))+(M71)</f>
        <v>#VALUE!</v>
      </c>
      <c r="N73" s="171" t="e">
        <f t="shared" si="45"/>
        <v>#VALUE!</v>
      </c>
      <c r="O73" s="171" t="e">
        <f t="shared" si="45"/>
        <v>#VALUE!</v>
      </c>
      <c r="P73" s="171" t="e">
        <f t="shared" si="45"/>
        <v>#VALUE!</v>
      </c>
      <c r="Q73" s="171" t="e">
        <f t="shared" si="45"/>
        <v>#VALUE!</v>
      </c>
      <c r="R73" s="171"/>
      <c r="S73" s="288"/>
    </row>
    <row r="74" spans="2:27" x14ac:dyDescent="0.75">
      <c r="B74" s="319" t="s">
        <v>164</v>
      </c>
      <c r="C74" s="315"/>
      <c r="D74" s="315"/>
      <c r="E74" s="316"/>
      <c r="F74" s="291"/>
      <c r="G74" s="316"/>
      <c r="H74" s="317"/>
      <c r="I74" s="276"/>
      <c r="J74" s="551"/>
      <c r="K74" s="316"/>
      <c r="L74" s="318"/>
      <c r="M74" s="271"/>
      <c r="N74" s="272"/>
      <c r="O74" s="272"/>
      <c r="P74" s="272"/>
      <c r="Q74" s="272"/>
      <c r="R74" s="272"/>
      <c r="S74" s="272"/>
    </row>
    <row r="75" spans="2:27" x14ac:dyDescent="0.75">
      <c r="B75" s="319" t="s">
        <v>256</v>
      </c>
      <c r="C75" s="320"/>
      <c r="D75" s="320">
        <v>2596.0500000000002</v>
      </c>
      <c r="E75" s="321">
        <v>315000</v>
      </c>
      <c r="F75" s="275">
        <f>'P&amp;L (QB)'!B77</f>
        <v>183242.37</v>
      </c>
      <c r="G75" s="321" t="e">
        <v>#VALUE!</v>
      </c>
      <c r="H75" s="322">
        <v>292333.33</v>
      </c>
      <c r="I75" s="298">
        <f>F75/H75</f>
        <v>0.62682681444500354</v>
      </c>
      <c r="J75" s="552"/>
      <c r="K75" s="537">
        <f t="shared" ref="K75:K76" si="46">H75-F75</f>
        <v>109090.96000000002</v>
      </c>
      <c r="L75" s="323"/>
      <c r="M75" s="300" t="e">
        <v>#VALUE!</v>
      </c>
      <c r="N75" s="168" t="e">
        <v>#VALUE!</v>
      </c>
      <c r="O75" s="168" t="e">
        <v>#VALUE!</v>
      </c>
      <c r="P75" s="168" t="e">
        <v>#VALUE!</v>
      </c>
      <c r="Q75" s="168" t="e">
        <v>#VALUE!</v>
      </c>
      <c r="R75" s="168"/>
      <c r="S75" s="272" t="s">
        <v>574</v>
      </c>
    </row>
    <row r="76" spans="2:27" x14ac:dyDescent="0.75">
      <c r="B76" s="319" t="s">
        <v>257</v>
      </c>
      <c r="C76" s="320"/>
      <c r="D76" s="320"/>
      <c r="E76" s="321">
        <v>273000</v>
      </c>
      <c r="F76" s="275">
        <f>'P&amp;L (QB)'!B79</f>
        <v>120701.13</v>
      </c>
      <c r="G76" s="321" t="e">
        <v>#VALUE!</v>
      </c>
      <c r="H76" s="322">
        <v>251000</v>
      </c>
      <c r="I76" s="298">
        <f>F76/H76</f>
        <v>0.48088099601593626</v>
      </c>
      <c r="J76" s="552"/>
      <c r="K76" s="537">
        <f t="shared" si="46"/>
        <v>130298.87</v>
      </c>
      <c r="L76" s="323"/>
      <c r="M76" s="300" t="e">
        <v>#VALUE!</v>
      </c>
      <c r="N76" s="168"/>
      <c r="O76" s="168"/>
      <c r="P76" s="168"/>
      <c r="Q76" s="168"/>
      <c r="R76" s="168"/>
      <c r="S76" s="272"/>
    </row>
    <row r="77" spans="2:27" x14ac:dyDescent="0.75">
      <c r="B77" s="319" t="s">
        <v>258</v>
      </c>
      <c r="C77" s="320"/>
      <c r="D77" s="320"/>
      <c r="E77" s="321"/>
      <c r="F77" s="275">
        <f>'P&amp;L (QB)'!B82</f>
        <v>0</v>
      </c>
      <c r="G77" s="321"/>
      <c r="H77" s="322">
        <v>0</v>
      </c>
      <c r="I77" s="298"/>
      <c r="J77" s="552"/>
      <c r="K77" s="537"/>
      <c r="L77" s="323"/>
      <c r="M77" s="300" t="e">
        <v>#VALUE!</v>
      </c>
      <c r="N77" s="168" t="e">
        <v>#VALUE!</v>
      </c>
      <c r="O77" s="168" t="e">
        <v>#VALUE!</v>
      </c>
      <c r="P77" s="168" t="e">
        <v>#VALUE!</v>
      </c>
      <c r="Q77" s="168" t="e">
        <v>#VALUE!</v>
      </c>
      <c r="R77" s="168"/>
      <c r="S77" s="272" t="s">
        <v>575</v>
      </c>
    </row>
    <row r="78" spans="2:27" s="178" customFormat="1" x14ac:dyDescent="0.75">
      <c r="B78" s="327" t="s">
        <v>259</v>
      </c>
      <c r="C78" s="328"/>
      <c r="D78" s="328"/>
      <c r="E78" s="321"/>
      <c r="F78" s="329">
        <f>'P&amp;L (QB)'!B83</f>
        <v>0</v>
      </c>
      <c r="G78" s="321"/>
      <c r="H78" s="322">
        <v>0</v>
      </c>
      <c r="I78" s="298"/>
      <c r="J78" s="552"/>
      <c r="K78" s="537"/>
      <c r="L78" s="323"/>
      <c r="M78" s="330"/>
      <c r="N78" s="331"/>
      <c r="O78" s="331"/>
      <c r="P78" s="331"/>
      <c r="Q78" s="331"/>
      <c r="R78" s="331"/>
      <c r="S78" s="332"/>
    </row>
    <row r="79" spans="2:27" x14ac:dyDescent="0.75">
      <c r="B79" s="319" t="s">
        <v>260</v>
      </c>
      <c r="C79" s="320"/>
      <c r="D79" s="320"/>
      <c r="E79" s="321">
        <v>96250</v>
      </c>
      <c r="F79" s="275">
        <f>'P&amp;L (QB)'!B84</f>
        <v>34221.050000000003</v>
      </c>
      <c r="G79" s="321" t="e">
        <v>#VALUE!</v>
      </c>
      <c r="H79" s="322">
        <v>60500</v>
      </c>
      <c r="I79" s="298">
        <f t="shared" ref="I79:I82" si="47">F79/H79</f>
        <v>0.56563719008264468</v>
      </c>
      <c r="J79" s="552"/>
      <c r="K79" s="537">
        <f t="shared" ref="K79:K81" si="48">H79-F79</f>
        <v>26278.949999999997</v>
      </c>
      <c r="L79" s="323"/>
      <c r="M79" s="300" t="e">
        <v>#VALUE!</v>
      </c>
      <c r="N79" s="168" t="e">
        <v>#VALUE!</v>
      </c>
      <c r="O79" s="168" t="e">
        <v>#VALUE!</v>
      </c>
      <c r="P79" s="168" t="e">
        <v>#VALUE!</v>
      </c>
      <c r="Q79" s="168" t="e">
        <v>#VALUE!</v>
      </c>
      <c r="R79" s="168"/>
      <c r="S79" s="272" t="s">
        <v>576</v>
      </c>
    </row>
    <row r="80" spans="2:27" ht="44.25" x14ac:dyDescent="0.75">
      <c r="B80" s="319" t="s">
        <v>261</v>
      </c>
      <c r="C80" s="320"/>
      <c r="D80" s="320"/>
      <c r="E80" s="321">
        <v>58500</v>
      </c>
      <c r="F80" s="275">
        <f>'P&amp;L (QB)'!B85</f>
        <v>38449.519999999997</v>
      </c>
      <c r="G80" s="321" t="e">
        <v>#VALUE!</v>
      </c>
      <c r="H80" s="322">
        <v>39000</v>
      </c>
      <c r="I80" s="298">
        <f t="shared" si="47"/>
        <v>0.98588512820512808</v>
      </c>
      <c r="J80" s="552"/>
      <c r="K80" s="537">
        <f t="shared" si="48"/>
        <v>550.4800000000032</v>
      </c>
      <c r="L80" s="323"/>
      <c r="M80" s="300" t="e">
        <v>#VALUE!</v>
      </c>
      <c r="N80" s="168" t="e">
        <v>#VALUE!</v>
      </c>
      <c r="O80" s="168" t="e">
        <v>#VALUE!</v>
      </c>
      <c r="P80" s="168" t="e">
        <v>#VALUE!</v>
      </c>
      <c r="Q80" s="168" t="e">
        <v>#VALUE!</v>
      </c>
      <c r="R80" s="168"/>
      <c r="S80" s="272"/>
      <c r="AA80" s="726" t="s">
        <v>933</v>
      </c>
    </row>
    <row r="81" spans="2:27" ht="29.5" x14ac:dyDescent="0.75">
      <c r="B81" s="319" t="s">
        <v>262</v>
      </c>
      <c r="C81" s="320"/>
      <c r="D81" s="320"/>
      <c r="E81" s="321">
        <v>60000</v>
      </c>
      <c r="F81" s="275">
        <f>'P&amp;L (QB)'!B86</f>
        <v>21937.5</v>
      </c>
      <c r="G81" s="321" t="e">
        <v>#VALUE!</v>
      </c>
      <c r="H81" s="322">
        <v>58500</v>
      </c>
      <c r="I81" s="298">
        <f t="shared" si="47"/>
        <v>0.375</v>
      </c>
      <c r="J81" s="552"/>
      <c r="K81" s="537">
        <f t="shared" si="48"/>
        <v>36562.5</v>
      </c>
      <c r="L81" s="323"/>
      <c r="M81" s="300" t="e">
        <v>#VALUE!</v>
      </c>
      <c r="N81" s="168" t="e">
        <v>#VALUE!</v>
      </c>
      <c r="O81" s="168" t="e">
        <v>#VALUE!</v>
      </c>
      <c r="P81" s="168" t="e">
        <v>#VALUE!</v>
      </c>
      <c r="Q81" s="168" t="e">
        <v>#VALUE!</v>
      </c>
      <c r="R81" s="168"/>
      <c r="S81" s="272"/>
      <c r="AA81" s="725" t="s">
        <v>932</v>
      </c>
    </row>
    <row r="82" spans="2:27" x14ac:dyDescent="0.75">
      <c r="B82" s="324" t="s">
        <v>165</v>
      </c>
      <c r="C82" s="283">
        <f>((((((C74)+(C75))+(C76))+(C77))+(C79))+(C80))+(C81)</f>
        <v>0</v>
      </c>
      <c r="D82" s="283">
        <f>((((((D74)+(D75))+(D76))+(D77))+(D79))+(D80))+(D81)</f>
        <v>2596.0500000000002</v>
      </c>
      <c r="E82" s="283">
        <f>((((((E74)+(E75))+(E76))+(E77))+(E79))+(E80))+(E81)+E78</f>
        <v>802750</v>
      </c>
      <c r="F82" s="284">
        <f>((((((F74)+(F75))+(F76))+(F77))+F78+(F79))+(F80))+(F81)</f>
        <v>398551.57</v>
      </c>
      <c r="G82" s="284" t="e">
        <f>((((((G74)+(G75))+(G76))+(G77))+(G79))+(G80))+(G81)</f>
        <v>#VALUE!</v>
      </c>
      <c r="H82" s="284">
        <f>((((((H74)+(H75))+(H76))+(H77))+H78+(H79))+(H80))+(H81)</f>
        <v>701333.33000000007</v>
      </c>
      <c r="I82" s="285">
        <f t="shared" si="47"/>
        <v>0.56827695612298923</v>
      </c>
      <c r="J82" s="285"/>
      <c r="K82" s="513">
        <f>((((((K74)+(K75))+(K76))+(K77))+(K79))+(K80))+(K81)</f>
        <v>302781.76</v>
      </c>
      <c r="L82" s="286"/>
      <c r="M82" s="287" t="e">
        <f>((((((M74)+(M75))+(M76))+(M77))+(M79))+(M80))+(M81)</f>
        <v>#VALUE!</v>
      </c>
      <c r="N82" s="171" t="e">
        <f t="shared" ref="N82:Q82" si="49">(((((N74)+(N75))+(N77))+(N79))+(N80))+(N81)</f>
        <v>#VALUE!</v>
      </c>
      <c r="O82" s="171" t="e">
        <f t="shared" si="49"/>
        <v>#VALUE!</v>
      </c>
      <c r="P82" s="171" t="e">
        <f t="shared" si="49"/>
        <v>#VALUE!</v>
      </c>
      <c r="Q82" s="171" t="e">
        <f t="shared" si="49"/>
        <v>#VALUE!</v>
      </c>
      <c r="R82" s="171"/>
      <c r="S82" s="288"/>
    </row>
    <row r="83" spans="2:27" x14ac:dyDescent="0.75">
      <c r="B83" s="319" t="s">
        <v>432</v>
      </c>
      <c r="C83" s="315"/>
      <c r="D83" s="315"/>
      <c r="E83" s="316"/>
      <c r="F83" s="291"/>
      <c r="G83" s="316"/>
      <c r="H83" s="317"/>
      <c r="I83" s="276"/>
      <c r="J83" s="551"/>
      <c r="K83" s="316"/>
      <c r="L83" s="318"/>
      <c r="M83" s="271"/>
      <c r="N83" s="272"/>
      <c r="O83" s="272"/>
      <c r="P83" s="272"/>
      <c r="Q83" s="272"/>
      <c r="R83" s="272"/>
      <c r="S83" s="272"/>
    </row>
    <row r="84" spans="2:27" x14ac:dyDescent="0.75">
      <c r="B84" s="319" t="s">
        <v>433</v>
      </c>
      <c r="C84" s="320"/>
      <c r="D84" s="320"/>
      <c r="E84" s="321"/>
      <c r="F84" s="275">
        <f>'P&amp;L (QB)'!B89</f>
        <v>0</v>
      </c>
      <c r="G84" s="321"/>
      <c r="H84" s="322">
        <f>G84</f>
        <v>0</v>
      </c>
      <c r="I84" s="298"/>
      <c r="J84" s="552"/>
      <c r="K84" s="537"/>
      <c r="L84" s="323"/>
      <c r="M84" s="300" t="e">
        <v>#VALUE!</v>
      </c>
      <c r="N84" s="168" t="e">
        <v>#VALUE!</v>
      </c>
      <c r="O84" s="168" t="e">
        <v>#VALUE!</v>
      </c>
      <c r="P84" s="168" t="e">
        <v>#VALUE!</v>
      </c>
      <c r="Q84" s="168" t="e">
        <v>#VALUE!</v>
      </c>
      <c r="R84" s="168"/>
      <c r="S84" s="272" t="s">
        <v>561</v>
      </c>
    </row>
    <row r="85" spans="2:27" x14ac:dyDescent="0.75">
      <c r="B85" s="324" t="s">
        <v>434</v>
      </c>
      <c r="C85" s="283" t="e">
        <f>(C83)+(C84)+#REF!</f>
        <v>#REF!</v>
      </c>
      <c r="D85" s="284">
        <f>(D83)+(D84)</f>
        <v>0</v>
      </c>
      <c r="E85" s="283" t="e">
        <f>(E83)+(E84)+#REF!</f>
        <v>#REF!</v>
      </c>
      <c r="F85" s="284">
        <f>(F83)+(F84)</f>
        <v>0</v>
      </c>
      <c r="G85" s="284">
        <f>(G83)+(G84)</f>
        <v>0</v>
      </c>
      <c r="H85" s="284">
        <f>(H83)+(H84)</f>
        <v>0</v>
      </c>
      <c r="I85" s="284"/>
      <c r="J85" s="284"/>
      <c r="K85" s="513">
        <f>(K83)+(K84)</f>
        <v>0</v>
      </c>
      <c r="L85" s="286"/>
      <c r="M85" s="287" t="e">
        <f>(M83)+(M84)</f>
        <v>#VALUE!</v>
      </c>
      <c r="N85" s="171" t="e">
        <f>(N83)+(N84)</f>
        <v>#VALUE!</v>
      </c>
      <c r="O85" s="171" t="e">
        <f>(O83)+(O84)</f>
        <v>#VALUE!</v>
      </c>
      <c r="P85" s="171" t="e">
        <f>(P83)+(P84)</f>
        <v>#VALUE!</v>
      </c>
      <c r="Q85" s="171" t="e">
        <f>(Q83)+(Q84)</f>
        <v>#VALUE!</v>
      </c>
      <c r="R85" s="171"/>
      <c r="S85" s="288"/>
    </row>
    <row r="86" spans="2:27" x14ac:dyDescent="0.75">
      <c r="B86" s="166" t="s">
        <v>137</v>
      </c>
      <c r="C86" s="315"/>
      <c r="D86" s="315"/>
      <c r="E86" s="316"/>
      <c r="F86" s="291"/>
      <c r="G86" s="316"/>
      <c r="H86" s="317"/>
      <c r="I86" s="276"/>
      <c r="J86" s="551"/>
      <c r="K86" s="316"/>
      <c r="L86" s="318"/>
      <c r="M86" s="271"/>
      <c r="N86" s="272"/>
      <c r="O86" s="272"/>
      <c r="P86" s="272"/>
      <c r="Q86" s="272"/>
      <c r="R86" s="272"/>
      <c r="S86" s="272"/>
    </row>
    <row r="87" spans="2:27" x14ac:dyDescent="0.75">
      <c r="B87" s="166" t="s">
        <v>435</v>
      </c>
      <c r="C87" s="315"/>
      <c r="D87" s="315"/>
      <c r="E87" s="316"/>
      <c r="F87" s="291">
        <f>'P&amp;L (QB)'!B92</f>
        <v>0</v>
      </c>
      <c r="G87" s="316"/>
      <c r="H87" s="317">
        <f t="shared" ref="H87" si="50">G87</f>
        <v>0</v>
      </c>
      <c r="I87" s="276"/>
      <c r="J87" s="551"/>
      <c r="K87" s="316"/>
      <c r="L87" s="318"/>
      <c r="M87" s="271"/>
      <c r="N87" s="272"/>
      <c r="O87" s="272"/>
      <c r="P87" s="272"/>
      <c r="Q87" s="272"/>
      <c r="R87" s="272"/>
      <c r="S87" s="272"/>
    </row>
    <row r="88" spans="2:27" x14ac:dyDescent="0.75">
      <c r="B88" s="166" t="s">
        <v>138</v>
      </c>
      <c r="C88" s="320">
        <v>1394</v>
      </c>
      <c r="D88" s="320">
        <v>2163.75</v>
      </c>
      <c r="E88" s="321">
        <v>11593</v>
      </c>
      <c r="F88" s="275">
        <f>'P&amp;L (QB)'!B93</f>
        <v>12494.79</v>
      </c>
      <c r="G88" s="321" t="e">
        <f>(G$73+G$82+G$85)*1%</f>
        <v>#VALUE!</v>
      </c>
      <c r="H88" s="322">
        <v>10711.3333</v>
      </c>
      <c r="I88" s="298">
        <f t="shared" ref="I88:I89" si="51">F88/H88</f>
        <v>1.1665018396916096</v>
      </c>
      <c r="J88" s="552"/>
      <c r="K88" s="537">
        <f t="shared" ref="K88:K90" si="52">H88-F88</f>
        <v>-1783.4567000000006</v>
      </c>
      <c r="L88" s="323"/>
      <c r="M88" s="300" t="e">
        <f>(M$73+M$82+M$85)*1%</f>
        <v>#VALUE!</v>
      </c>
      <c r="N88" s="168" t="e">
        <f>(N$73+N$82+N$85)*1%</f>
        <v>#VALUE!</v>
      </c>
      <c r="O88" s="168" t="e">
        <f>(O$73+O$82+O$85)*1%</f>
        <v>#VALUE!</v>
      </c>
      <c r="P88" s="168" t="e">
        <f>(P$73+P$82+P$85)*1%</f>
        <v>#VALUE!</v>
      </c>
      <c r="Q88" s="168" t="e">
        <f>(Q$73+Q$82+Q$85)*1%</f>
        <v>#VALUE!</v>
      </c>
      <c r="R88" s="168"/>
      <c r="S88" s="272" t="s">
        <v>577</v>
      </c>
    </row>
    <row r="89" spans="2:27" x14ac:dyDescent="0.75">
      <c r="B89" s="166" t="s">
        <v>139</v>
      </c>
      <c r="C89" s="320">
        <v>10463</v>
      </c>
      <c r="D89" s="320">
        <v>9239.2199999999993</v>
      </c>
      <c r="E89" s="321">
        <v>71876.600000000006</v>
      </c>
      <c r="F89" s="275">
        <f>'P&amp;L (QB)'!B94</f>
        <v>36372.300000000003</v>
      </c>
      <c r="G89" s="321" t="e">
        <f>(G$73+G$82+G$85)*6.2%</f>
        <v>#VALUE!</v>
      </c>
      <c r="H89" s="322">
        <v>66410.266459999999</v>
      </c>
      <c r="I89" s="298">
        <f t="shared" si="51"/>
        <v>0.54769092097993077</v>
      </c>
      <c r="J89" s="552"/>
      <c r="K89" s="537">
        <f>H89-F89</f>
        <v>30037.966459999996</v>
      </c>
      <c r="L89" s="323"/>
      <c r="M89" s="300" t="e">
        <f>(M$73+M$82+M$85)*6.2%</f>
        <v>#VALUE!</v>
      </c>
      <c r="N89" s="168" t="e">
        <f>(N$73+N$82+N$85)*6.2%</f>
        <v>#VALUE!</v>
      </c>
      <c r="O89" s="168" t="e">
        <f>(O$73+O$82+O$85)*6.2%</f>
        <v>#VALUE!</v>
      </c>
      <c r="P89" s="168" t="e">
        <f>(P$73+P$82+P$85)*6.2%</f>
        <v>#VALUE!</v>
      </c>
      <c r="Q89" s="168" t="e">
        <f>(Q$73+Q$82+Q$85)*6.2%</f>
        <v>#VALUE!</v>
      </c>
      <c r="R89" s="168"/>
      <c r="S89" s="272" t="s">
        <v>578</v>
      </c>
    </row>
    <row r="90" spans="2:27" x14ac:dyDescent="0.75">
      <c r="B90" s="166" t="s">
        <v>140</v>
      </c>
      <c r="C90" s="320">
        <v>2447</v>
      </c>
      <c r="D90" s="320">
        <v>2160.75</v>
      </c>
      <c r="E90" s="321">
        <v>16809.849999999999</v>
      </c>
      <c r="F90" s="275">
        <f>'P&amp;L (QB)'!B95</f>
        <v>8506.43</v>
      </c>
      <c r="G90" s="321" t="e">
        <f>(G$73+G$82+G$85)*1.45%</f>
        <v>#VALUE!</v>
      </c>
      <c r="H90" s="322">
        <v>15531.433284999999</v>
      </c>
      <c r="I90" s="298">
        <f>F90/H90</f>
        <v>0.5476912429077212</v>
      </c>
      <c r="J90" s="552"/>
      <c r="K90" s="537">
        <f t="shared" si="52"/>
        <v>7025.0032849999989</v>
      </c>
      <c r="L90" s="323"/>
      <c r="M90" s="300" t="e">
        <f>(M$73+M$82+M$85)*1.45%</f>
        <v>#VALUE!</v>
      </c>
      <c r="N90" s="168" t="e">
        <f>(N$73+N$82+N$85)*1.45%</f>
        <v>#VALUE!</v>
      </c>
      <c r="O90" s="168" t="e">
        <f>(O$73+O$82+O$85)*1.45%</f>
        <v>#VALUE!</v>
      </c>
      <c r="P90" s="168" t="e">
        <f>(P$73+P$82+P$85)*1.45%</f>
        <v>#VALUE!</v>
      </c>
      <c r="Q90" s="168" t="e">
        <f>(Q$73+Q$82+Q$85)*1.45%</f>
        <v>#VALUE!</v>
      </c>
      <c r="R90" s="168"/>
      <c r="S90" s="272" t="s">
        <v>579</v>
      </c>
    </row>
    <row r="91" spans="2:27" outlineLevel="1" x14ac:dyDescent="0.75">
      <c r="B91" s="166" t="s">
        <v>141</v>
      </c>
      <c r="C91" s="320">
        <f>0</f>
        <v>0</v>
      </c>
      <c r="D91" s="320"/>
      <c r="E91" s="321">
        <v>0</v>
      </c>
      <c r="F91" s="275"/>
      <c r="G91" s="321"/>
      <c r="H91" s="322">
        <v>0</v>
      </c>
      <c r="I91" s="298"/>
      <c r="J91" s="552"/>
      <c r="K91" s="537"/>
      <c r="L91" s="323"/>
      <c r="M91" s="300">
        <f>0</f>
        <v>0</v>
      </c>
      <c r="N91" s="168">
        <f>0</f>
        <v>0</v>
      </c>
      <c r="O91" s="168">
        <f>0</f>
        <v>0</v>
      </c>
      <c r="P91" s="168">
        <f>0</f>
        <v>0</v>
      </c>
      <c r="Q91" s="168">
        <f>0</f>
        <v>0</v>
      </c>
      <c r="R91" s="168"/>
      <c r="S91" s="272"/>
    </row>
    <row r="92" spans="2:27" outlineLevel="1" x14ac:dyDescent="0.75">
      <c r="B92" s="166" t="s">
        <v>142</v>
      </c>
      <c r="C92" s="320">
        <f>0</f>
        <v>0</v>
      </c>
      <c r="D92" s="320"/>
      <c r="E92" s="321">
        <v>0</v>
      </c>
      <c r="F92" s="275"/>
      <c r="G92" s="321"/>
      <c r="H92" s="322">
        <v>0</v>
      </c>
      <c r="I92" s="298"/>
      <c r="J92" s="552"/>
      <c r="K92" s="537"/>
      <c r="L92" s="323"/>
      <c r="M92" s="300">
        <f>0</f>
        <v>0</v>
      </c>
      <c r="N92" s="168">
        <f>0</f>
        <v>0</v>
      </c>
      <c r="O92" s="168">
        <f>0</f>
        <v>0</v>
      </c>
      <c r="P92" s="168">
        <f>0</f>
        <v>0</v>
      </c>
      <c r="Q92" s="168">
        <f>0</f>
        <v>0</v>
      </c>
      <c r="R92" s="168"/>
      <c r="S92" s="272"/>
    </row>
    <row r="93" spans="2:27" outlineLevel="1" x14ac:dyDescent="0.75">
      <c r="B93" s="166" t="s">
        <v>143</v>
      </c>
      <c r="C93" s="320">
        <f>0</f>
        <v>0</v>
      </c>
      <c r="D93" s="320"/>
      <c r="E93" s="321">
        <v>0</v>
      </c>
      <c r="F93" s="275"/>
      <c r="G93" s="321"/>
      <c r="H93" s="322">
        <v>0</v>
      </c>
      <c r="I93" s="298"/>
      <c r="J93" s="552"/>
      <c r="K93" s="537"/>
      <c r="L93" s="323"/>
      <c r="M93" s="300">
        <f>0</f>
        <v>0</v>
      </c>
      <c r="N93" s="168">
        <f>0</f>
        <v>0</v>
      </c>
      <c r="O93" s="168">
        <f>0</f>
        <v>0</v>
      </c>
      <c r="P93" s="168">
        <f>0</f>
        <v>0</v>
      </c>
      <c r="Q93" s="168">
        <f>0</f>
        <v>0</v>
      </c>
      <c r="R93" s="168"/>
      <c r="S93" s="272"/>
    </row>
    <row r="94" spans="2:27" outlineLevel="1" x14ac:dyDescent="0.75">
      <c r="B94" s="166" t="s">
        <v>144</v>
      </c>
      <c r="C94" s="320">
        <f>0</f>
        <v>0</v>
      </c>
      <c r="D94" s="320"/>
      <c r="E94" s="321">
        <v>0</v>
      </c>
      <c r="F94" s="275"/>
      <c r="G94" s="321"/>
      <c r="H94" s="322">
        <v>0</v>
      </c>
      <c r="I94" s="298"/>
      <c r="J94" s="552"/>
      <c r="K94" s="537"/>
      <c r="L94" s="323"/>
      <c r="M94" s="300">
        <f>0</f>
        <v>0</v>
      </c>
      <c r="N94" s="168">
        <f>0</f>
        <v>0</v>
      </c>
      <c r="O94" s="168">
        <f>0</f>
        <v>0</v>
      </c>
      <c r="P94" s="168">
        <f>0</f>
        <v>0</v>
      </c>
      <c r="Q94" s="168">
        <f>0</f>
        <v>0</v>
      </c>
      <c r="R94" s="168"/>
      <c r="S94" s="272"/>
    </row>
    <row r="95" spans="2:27" outlineLevel="1" x14ac:dyDescent="0.75">
      <c r="B95" s="166" t="s">
        <v>145</v>
      </c>
      <c r="C95" s="320">
        <f>0</f>
        <v>0</v>
      </c>
      <c r="D95" s="320"/>
      <c r="E95" s="321">
        <v>0</v>
      </c>
      <c r="F95" s="275"/>
      <c r="G95" s="321"/>
      <c r="H95" s="322">
        <v>0</v>
      </c>
      <c r="I95" s="298"/>
      <c r="J95" s="552"/>
      <c r="K95" s="537"/>
      <c r="L95" s="323"/>
      <c r="M95" s="300">
        <f>0</f>
        <v>0</v>
      </c>
      <c r="N95" s="168">
        <f>0</f>
        <v>0</v>
      </c>
      <c r="O95" s="168">
        <f>0</f>
        <v>0</v>
      </c>
      <c r="P95" s="168">
        <f>0</f>
        <v>0</v>
      </c>
      <c r="Q95" s="168">
        <f>0</f>
        <v>0</v>
      </c>
      <c r="R95" s="168"/>
      <c r="S95" s="272"/>
    </row>
    <row r="96" spans="2:27" x14ac:dyDescent="0.75">
      <c r="B96" s="166" t="s">
        <v>146</v>
      </c>
      <c r="C96" s="320"/>
      <c r="D96" s="320">
        <v>-79.489999999999995</v>
      </c>
      <c r="E96" s="321">
        <v>1000</v>
      </c>
      <c r="F96" s="275">
        <f>'P&amp;L (QB)'!B101</f>
        <v>801.27</v>
      </c>
      <c r="G96" s="321">
        <v>1000</v>
      </c>
      <c r="H96" s="322">
        <v>1000</v>
      </c>
      <c r="I96" s="298">
        <f>F96/H96</f>
        <v>0.80126999999999993</v>
      </c>
      <c r="J96" s="552"/>
      <c r="K96" s="537">
        <f>H96-F96</f>
        <v>198.73000000000002</v>
      </c>
      <c r="L96" s="323"/>
      <c r="M96" s="300">
        <v>2500</v>
      </c>
      <c r="N96" s="168"/>
      <c r="O96" s="168"/>
      <c r="P96" s="168"/>
      <c r="Q96" s="168"/>
      <c r="R96" s="168"/>
      <c r="S96" s="272"/>
    </row>
    <row r="97" spans="2:19" x14ac:dyDescent="0.75">
      <c r="B97" s="166" t="s">
        <v>436</v>
      </c>
      <c r="C97" s="315"/>
      <c r="D97" s="315"/>
      <c r="E97" s="316"/>
      <c r="F97" s="291"/>
      <c r="G97" s="316"/>
      <c r="H97" s="317">
        <v>0</v>
      </c>
      <c r="I97" s="276"/>
      <c r="J97" s="551"/>
      <c r="K97" s="538"/>
      <c r="L97" s="318"/>
      <c r="M97" s="278"/>
      <c r="N97" s="273"/>
      <c r="O97" s="273"/>
      <c r="P97" s="273"/>
      <c r="Q97" s="273"/>
      <c r="R97" s="273"/>
      <c r="S97" s="272"/>
    </row>
    <row r="98" spans="2:19" x14ac:dyDescent="0.75">
      <c r="B98" s="166" t="s">
        <v>147</v>
      </c>
      <c r="C98" s="333">
        <v>0</v>
      </c>
      <c r="D98" s="333">
        <v>-1.66</v>
      </c>
      <c r="E98" s="334">
        <v>0</v>
      </c>
      <c r="F98" s="335">
        <f>'P&amp;L (QB)'!B103</f>
        <v>-371.01</v>
      </c>
      <c r="G98" s="334">
        <v>0</v>
      </c>
      <c r="H98" s="336">
        <v>0</v>
      </c>
      <c r="I98" s="298"/>
      <c r="J98" s="552"/>
      <c r="K98" s="536"/>
      <c r="L98" s="337"/>
      <c r="M98" s="300">
        <v>1</v>
      </c>
      <c r="N98" s="168">
        <v>1</v>
      </c>
      <c r="O98" s="168">
        <v>2</v>
      </c>
      <c r="P98" s="168">
        <v>3</v>
      </c>
      <c r="Q98" s="168">
        <v>4</v>
      </c>
      <c r="R98" s="168"/>
      <c r="S98" s="272"/>
    </row>
    <row r="99" spans="2:19" x14ac:dyDescent="0.75">
      <c r="B99" s="282" t="s">
        <v>148</v>
      </c>
      <c r="C99" s="283">
        <f t="shared" ref="C99:G99" si="53">((((((((((((C86)+(C87))+(C88))+(C89))+(C90))+(C91))+(C92))+(C93))+(C94))+(C95))+(C96))+(C97))+(C98)</f>
        <v>14304</v>
      </c>
      <c r="D99" s="283">
        <f t="shared" si="53"/>
        <v>13482.57</v>
      </c>
      <c r="E99" s="283">
        <f t="shared" si="53"/>
        <v>101279.45000000001</v>
      </c>
      <c r="F99" s="284">
        <f>((((((((((((F86)+(F87))+(F88))+(F89))+(F90))+(F91))+(F92))+(F93))+(F94))+(F95))+(F96))+(F97))+(F98)</f>
        <v>57803.78</v>
      </c>
      <c r="G99" s="284" t="e">
        <f t="shared" si="53"/>
        <v>#VALUE!</v>
      </c>
      <c r="H99" s="284">
        <f>((((((((((((H86)+(H87))+(H88))+(H89))+(H90))+(H91))+(H92))+(H93))+(H94))+(H95))+(H96))+(H97))+(H98)</f>
        <v>93653.033044999989</v>
      </c>
      <c r="I99" s="285">
        <f>F99/H99</f>
        <v>0.61721204450714873</v>
      </c>
      <c r="J99" s="285"/>
      <c r="K99" s="513">
        <f>((((((((((((K86)+(K87))+(K88))+(K89))+(K90))+(K91))+(K92))+(K93))+(K94))+(K95))+(K96))+(K97))+(K98)</f>
        <v>35478.243044999996</v>
      </c>
      <c r="L99" s="286"/>
      <c r="M99" s="287" t="e">
        <f t="shared" ref="M99:Q99" si="54">((((((((((((M86)+(M87))+(M88))+(M89))+(M90))+(M91))+(M92))+(M93))+(M94))+(M95))+(M96))+(M97))+(M98)</f>
        <v>#VALUE!</v>
      </c>
      <c r="N99" s="171" t="e">
        <f t="shared" si="54"/>
        <v>#VALUE!</v>
      </c>
      <c r="O99" s="171" t="e">
        <f t="shared" si="54"/>
        <v>#VALUE!</v>
      </c>
      <c r="P99" s="171" t="e">
        <f t="shared" si="54"/>
        <v>#VALUE!</v>
      </c>
      <c r="Q99" s="171" t="e">
        <f t="shared" si="54"/>
        <v>#VALUE!</v>
      </c>
      <c r="R99" s="171"/>
      <c r="S99" s="288"/>
    </row>
    <row r="100" spans="2:19" x14ac:dyDescent="0.75">
      <c r="B100" s="166" t="s">
        <v>149</v>
      </c>
      <c r="C100" s="315"/>
      <c r="D100" s="315"/>
      <c r="E100" s="316"/>
      <c r="F100" s="291"/>
      <c r="G100" s="316"/>
      <c r="H100" s="317"/>
      <c r="I100" s="276"/>
      <c r="J100" s="551"/>
      <c r="K100" s="316"/>
      <c r="L100" s="318"/>
      <c r="M100" s="271"/>
      <c r="N100" s="272"/>
      <c r="O100" s="272"/>
      <c r="P100" s="272"/>
      <c r="Q100" s="272"/>
      <c r="R100" s="272"/>
      <c r="S100" s="272"/>
    </row>
    <row r="101" spans="2:19" x14ac:dyDescent="0.75">
      <c r="B101" s="166" t="s">
        <v>150</v>
      </c>
      <c r="C101" s="315">
        <v>11375</v>
      </c>
      <c r="D101" s="315">
        <v>7498.83</v>
      </c>
      <c r="E101" s="316">
        <v>192384</v>
      </c>
      <c r="F101" s="291">
        <f>'P&amp;L (QB)'!B106+'P&amp;L (QB)'!B107+'P&amp;L (QB)'!B108</f>
        <v>52025.979999999996</v>
      </c>
      <c r="G101" s="316">
        <v>91590.796999999991</v>
      </c>
      <c r="H101" s="317">
        <v>91590.796999999991</v>
      </c>
      <c r="I101" s="276">
        <f>F101/H101</f>
        <v>0.56802628325201709</v>
      </c>
      <c r="J101" s="551"/>
      <c r="K101" s="538">
        <f>H101-F101</f>
        <v>39564.816999999995</v>
      </c>
      <c r="L101" s="318"/>
      <c r="M101" s="278">
        <f>((685*11*6)+(735*11*6))+((1349*3*6)+(1449*3*6))+((1935*2*6)+(2090*2*6))</f>
        <v>192384</v>
      </c>
      <c r="N101" s="273">
        <v>178920</v>
      </c>
      <c r="O101" s="273">
        <v>247080</v>
      </c>
      <c r="P101" s="273">
        <v>281160</v>
      </c>
      <c r="Q101" s="273">
        <v>315240</v>
      </c>
      <c r="R101" s="273"/>
      <c r="S101" s="281" t="s">
        <v>580</v>
      </c>
    </row>
    <row r="102" spans="2:19" x14ac:dyDescent="0.75">
      <c r="B102" s="166" t="s">
        <v>151</v>
      </c>
      <c r="C102" s="320"/>
      <c r="D102" s="320">
        <v>446.49</v>
      </c>
      <c r="E102" s="321"/>
      <c r="F102" s="275"/>
      <c r="G102" s="321"/>
      <c r="H102" s="322">
        <v>0</v>
      </c>
      <c r="I102" s="298"/>
      <c r="J102" s="552"/>
      <c r="K102" s="537"/>
      <c r="L102" s="323"/>
      <c r="M102" s="271"/>
      <c r="N102" s="272"/>
      <c r="O102" s="272"/>
      <c r="P102" s="272"/>
      <c r="Q102" s="272"/>
      <c r="R102" s="272"/>
      <c r="S102" s="272" t="s">
        <v>581</v>
      </c>
    </row>
    <row r="103" spans="2:19" x14ac:dyDescent="0.75">
      <c r="B103" s="166" t="s">
        <v>169</v>
      </c>
      <c r="C103" s="315"/>
      <c r="D103" s="315">
        <v>103.32</v>
      </c>
      <c r="E103" s="316"/>
      <c r="F103" s="291"/>
      <c r="G103" s="316"/>
      <c r="H103" s="317">
        <v>0</v>
      </c>
      <c r="I103" s="276"/>
      <c r="J103" s="551"/>
      <c r="K103" s="538"/>
      <c r="L103" s="318"/>
      <c r="M103" s="271"/>
      <c r="N103" s="272"/>
      <c r="O103" s="272"/>
      <c r="P103" s="272"/>
      <c r="Q103" s="272"/>
      <c r="R103" s="272"/>
      <c r="S103" s="272" t="s">
        <v>581</v>
      </c>
    </row>
    <row r="104" spans="2:19" x14ac:dyDescent="0.75">
      <c r="B104" s="338" t="s">
        <v>152</v>
      </c>
      <c r="C104" s="339">
        <v>1688</v>
      </c>
      <c r="D104" s="339"/>
      <c r="E104" s="321">
        <v>10368</v>
      </c>
      <c r="F104" s="275">
        <f>'P&amp;L (QB)'!B109</f>
        <v>7825.99</v>
      </c>
      <c r="G104" s="321">
        <v>10368</v>
      </c>
      <c r="H104" s="322">
        <v>10368</v>
      </c>
      <c r="I104" s="298">
        <f t="shared" ref="I104" si="55">F104/H104</f>
        <v>0.75482156635802466</v>
      </c>
      <c r="J104" s="552"/>
      <c r="K104" s="537">
        <f>H104-F104</f>
        <v>2542.0100000000002</v>
      </c>
      <c r="L104" s="323"/>
      <c r="M104" s="300">
        <v>10368</v>
      </c>
      <c r="N104" s="340" t="e">
        <f>(N$73+N$82+N$85)*1%</f>
        <v>#VALUE!</v>
      </c>
      <c r="O104" s="340" t="e">
        <f>(O$73+O$82+O$85)*1%</f>
        <v>#VALUE!</v>
      </c>
      <c r="P104" s="340" t="e">
        <f>(P$73+P$82+P$85)*1%</f>
        <v>#VALUE!</v>
      </c>
      <c r="Q104" s="340" t="e">
        <f>(Q$73+Q$82+Q$85)*1%</f>
        <v>#VALUE!</v>
      </c>
      <c r="R104" s="340"/>
      <c r="S104" s="341" t="s">
        <v>582</v>
      </c>
    </row>
    <row r="105" spans="2:19" ht="29.5" x14ac:dyDescent="0.75">
      <c r="B105" s="166" t="s">
        <v>583</v>
      </c>
      <c r="C105" s="315"/>
      <c r="D105" s="315">
        <v>631.58000000000004</v>
      </c>
      <c r="E105" s="316">
        <v>11339.437769230768</v>
      </c>
      <c r="F105" s="291">
        <f>'P&amp;L (QB)'!B110+'P&amp;L (QB)'!B114+'P&amp;L (QB)'!B115+'P&amp;L (QB)'!B116+'P&amp;L (QB)'!B117</f>
        <v>5873.5300000000007</v>
      </c>
      <c r="G105" s="316">
        <v>10600.962000000001</v>
      </c>
      <c r="H105" s="317">
        <v>10600.962000000001</v>
      </c>
      <c r="I105" s="276">
        <f>F105/H105</f>
        <v>0.55405632054902187</v>
      </c>
      <c r="J105" s="551"/>
      <c r="K105" s="538">
        <f>H105-F105</f>
        <v>4727.4320000000007</v>
      </c>
      <c r="L105" s="318"/>
      <c r="M105" s="278">
        <v>11270.073255315385</v>
      </c>
      <c r="N105" s="273">
        <v>17000</v>
      </c>
      <c r="O105" s="273">
        <v>20000</v>
      </c>
      <c r="P105" s="273">
        <v>23000</v>
      </c>
      <c r="Q105" s="273">
        <v>26000</v>
      </c>
      <c r="R105" s="273"/>
      <c r="S105" s="272" t="s">
        <v>584</v>
      </c>
    </row>
    <row r="106" spans="2:19" x14ac:dyDescent="0.75">
      <c r="B106" s="166" t="s">
        <v>437</v>
      </c>
      <c r="C106" s="315"/>
      <c r="D106" s="315"/>
      <c r="E106" s="316"/>
      <c r="F106" s="291"/>
      <c r="G106" s="316"/>
      <c r="H106" s="317">
        <v>0</v>
      </c>
      <c r="I106" s="276"/>
      <c r="J106" s="551"/>
      <c r="K106" s="538">
        <f t="shared" ref="K106" si="56">G106-F106</f>
        <v>0</v>
      </c>
      <c r="L106" s="318"/>
      <c r="M106" s="271"/>
      <c r="N106" s="272"/>
      <c r="O106" s="272"/>
      <c r="P106" s="272"/>
      <c r="Q106" s="272"/>
      <c r="R106" s="272"/>
      <c r="S106" s="272" t="s">
        <v>581</v>
      </c>
    </row>
    <row r="107" spans="2:19" x14ac:dyDescent="0.75">
      <c r="B107" s="166" t="s">
        <v>199</v>
      </c>
      <c r="C107" s="315"/>
      <c r="D107" s="315">
        <v>264</v>
      </c>
      <c r="E107" s="316"/>
      <c r="F107" s="291">
        <f>'P&amp;L (QB)'!B112</f>
        <v>0</v>
      </c>
      <c r="G107" s="316"/>
      <c r="H107" s="317">
        <v>0</v>
      </c>
      <c r="I107" s="276"/>
      <c r="J107" s="551"/>
      <c r="K107" s="538">
        <f>H107-F107</f>
        <v>0</v>
      </c>
      <c r="L107" s="318"/>
      <c r="M107" s="271"/>
      <c r="N107" s="272"/>
      <c r="O107" s="272"/>
      <c r="P107" s="272"/>
      <c r="Q107" s="272"/>
      <c r="R107" s="272"/>
      <c r="S107" s="272"/>
    </row>
    <row r="108" spans="2:19" x14ac:dyDescent="0.75">
      <c r="B108" s="282" t="s">
        <v>153</v>
      </c>
      <c r="C108" s="283">
        <f t="shared" ref="C108:G108" si="57">(((((((C100)+(C101))+(C102))+(C103))+(C104))+(C105))+(C106))+(C107)</f>
        <v>13063</v>
      </c>
      <c r="D108" s="283">
        <f t="shared" si="57"/>
        <v>8944.2199999999993</v>
      </c>
      <c r="E108" s="283">
        <f t="shared" si="57"/>
        <v>214091.43776923078</v>
      </c>
      <c r="F108" s="284">
        <f>(((((((F100)+(F101))+(F102))+(F103))+(F104))+(F105))+(F106))+(F107)</f>
        <v>65725.5</v>
      </c>
      <c r="G108" s="284">
        <f t="shared" si="57"/>
        <v>112559.75899999999</v>
      </c>
      <c r="H108" s="284">
        <f>(((((((H100)+(H101))+(H102))+(H103))+(H104))+(H105))+(H106))+(H107)</f>
        <v>112559.75899999999</v>
      </c>
      <c r="I108" s="285">
        <f>F108/H108</f>
        <v>0.58391649541467128</v>
      </c>
      <c r="J108" s="285"/>
      <c r="K108" s="513">
        <f>(((((((K100)+(K101))+(K102))+(K103))+(K104))+(K105))+(K106))+(K107)</f>
        <v>46834.258999999998</v>
      </c>
      <c r="L108" s="286"/>
      <c r="M108" s="287">
        <f t="shared" ref="M108:Q108" si="58">(((((((M100)+(M101))+(M102))+(M103))+(M104))+(M105))+(M106))+(M107)</f>
        <v>214022.07325531539</v>
      </c>
      <c r="N108" s="171" t="e">
        <f t="shared" si="58"/>
        <v>#VALUE!</v>
      </c>
      <c r="O108" s="171" t="e">
        <f t="shared" si="58"/>
        <v>#VALUE!</v>
      </c>
      <c r="P108" s="171" t="e">
        <f t="shared" si="58"/>
        <v>#VALUE!</v>
      </c>
      <c r="Q108" s="171" t="e">
        <f t="shared" si="58"/>
        <v>#VALUE!</v>
      </c>
      <c r="R108" s="171"/>
      <c r="S108" s="288"/>
    </row>
    <row r="109" spans="2:19" x14ac:dyDescent="0.75">
      <c r="B109" s="166" t="s">
        <v>443</v>
      </c>
      <c r="C109" s="315"/>
      <c r="D109" s="315"/>
      <c r="E109" s="316"/>
      <c r="F109" s="291"/>
      <c r="G109" s="316"/>
      <c r="H109" s="317"/>
      <c r="I109" s="276"/>
      <c r="J109" s="551"/>
      <c r="K109" s="316"/>
      <c r="L109" s="318"/>
      <c r="M109" s="271"/>
      <c r="N109" s="272"/>
      <c r="O109" s="272"/>
      <c r="P109" s="272"/>
      <c r="Q109" s="272"/>
      <c r="R109" s="272"/>
      <c r="S109" s="272"/>
    </row>
    <row r="110" spans="2:19" x14ac:dyDescent="0.75">
      <c r="B110" s="166" t="s">
        <v>444</v>
      </c>
      <c r="C110" s="315"/>
      <c r="D110" s="315"/>
      <c r="E110" s="316"/>
      <c r="F110" s="291">
        <f>'P&amp;L (QB)'!B120</f>
        <v>0</v>
      </c>
      <c r="G110" s="316"/>
      <c r="H110" s="317">
        <f t="shared" ref="H110:H112" si="59">G110</f>
        <v>0</v>
      </c>
      <c r="I110" s="276"/>
      <c r="J110" s="551"/>
      <c r="K110" s="538"/>
      <c r="L110" s="318"/>
      <c r="M110" s="278">
        <v>0</v>
      </c>
      <c r="N110" s="273">
        <v>3001</v>
      </c>
      <c r="O110" s="273">
        <v>3002</v>
      </c>
      <c r="P110" s="273">
        <v>3003</v>
      </c>
      <c r="Q110" s="273">
        <v>3004</v>
      </c>
      <c r="R110" s="273"/>
      <c r="S110" s="272" t="s">
        <v>585</v>
      </c>
    </row>
    <row r="111" spans="2:19" x14ac:dyDescent="0.75">
      <c r="B111" s="166" t="s">
        <v>445</v>
      </c>
      <c r="C111" s="320"/>
      <c r="D111" s="320"/>
      <c r="E111" s="321"/>
      <c r="F111" s="291">
        <f>'P&amp;L (QB)'!B121</f>
        <v>0</v>
      </c>
      <c r="G111" s="321"/>
      <c r="H111" s="322">
        <f t="shared" si="59"/>
        <v>0</v>
      </c>
      <c r="I111" s="298"/>
      <c r="J111" s="552"/>
      <c r="K111" s="537"/>
      <c r="L111" s="323"/>
      <c r="M111" s="300">
        <v>0</v>
      </c>
      <c r="N111" s="168" t="e">
        <f>(N$73+N$82+N$85)*3%</f>
        <v>#VALUE!</v>
      </c>
      <c r="O111" s="168" t="e">
        <f>(O$73+O$82+O$85)*3%</f>
        <v>#VALUE!</v>
      </c>
      <c r="P111" s="168" t="e">
        <f>(P$73+P$82+P$85)*3%</f>
        <v>#VALUE!</v>
      </c>
      <c r="Q111" s="168" t="e">
        <f>(Q$73+Q$82+Q$85)*3%</f>
        <v>#VALUE!</v>
      </c>
      <c r="R111" s="168"/>
      <c r="S111" s="272"/>
    </row>
    <row r="112" spans="2:19" x14ac:dyDescent="0.75">
      <c r="B112" s="166" t="s">
        <v>446</v>
      </c>
      <c r="C112" s="315"/>
      <c r="D112" s="315"/>
      <c r="E112" s="316"/>
      <c r="F112" s="291">
        <f>'P&amp;L (QB)'!B122</f>
        <v>0</v>
      </c>
      <c r="G112" s="316"/>
      <c r="H112" s="317">
        <f t="shared" si="59"/>
        <v>0</v>
      </c>
      <c r="I112" s="276"/>
      <c r="J112" s="551"/>
      <c r="K112" s="538"/>
      <c r="L112" s="318"/>
      <c r="M112" s="271"/>
      <c r="N112" s="272"/>
      <c r="O112" s="272"/>
      <c r="P112" s="272"/>
      <c r="Q112" s="272"/>
      <c r="R112" s="272"/>
      <c r="S112" s="272"/>
    </row>
    <row r="113" spans="2:27" x14ac:dyDescent="0.75">
      <c r="B113" s="282" t="s">
        <v>447</v>
      </c>
      <c r="C113" s="283">
        <f>(((C109)+(C110))+(C111))+(C112)</f>
        <v>0</v>
      </c>
      <c r="D113" s="283">
        <f>(((D109)+(D110))+(D111))+(D112)</f>
        <v>0</v>
      </c>
      <c r="E113" s="283"/>
      <c r="F113" s="284">
        <f>(((F109)+(F110))+(F111))+(F112)</f>
        <v>0</v>
      </c>
      <c r="G113" s="284">
        <f>(((G109)+(G110))+(G111))+(G112)</f>
        <v>0</v>
      </c>
      <c r="H113" s="284">
        <f>(((H109)+(H110))+(H111))+(H112)</f>
        <v>0</v>
      </c>
      <c r="I113" s="285"/>
      <c r="J113" s="285"/>
      <c r="K113" s="513">
        <f>(((K109)+(K110))+(K111))+(K112)</f>
        <v>0</v>
      </c>
      <c r="L113" s="286"/>
      <c r="M113" s="287">
        <f t="shared" ref="M113:Q113" si="60">(((M109)+(M110))+(M111))+(M112)</f>
        <v>0</v>
      </c>
      <c r="N113" s="171" t="e">
        <f t="shared" si="60"/>
        <v>#VALUE!</v>
      </c>
      <c r="O113" s="171" t="e">
        <f t="shared" si="60"/>
        <v>#VALUE!</v>
      </c>
      <c r="P113" s="171" t="e">
        <f t="shared" si="60"/>
        <v>#VALUE!</v>
      </c>
      <c r="Q113" s="171" t="e">
        <f t="shared" si="60"/>
        <v>#VALUE!</v>
      </c>
      <c r="R113" s="171"/>
      <c r="S113" s="288"/>
    </row>
    <row r="114" spans="2:27" x14ac:dyDescent="0.75">
      <c r="B114" s="282" t="s">
        <v>154</v>
      </c>
      <c r="C114" s="283" t="e">
        <f t="shared" ref="C114:H114" si="61">((((((C60)+(C73))+(C82))+(C85))+(C99))+(C108))+(C113)</f>
        <v>#REF!</v>
      </c>
      <c r="D114" s="283">
        <f t="shared" si="61"/>
        <v>172078.5</v>
      </c>
      <c r="E114" s="283" t="e">
        <f t="shared" si="61"/>
        <v>#REF!</v>
      </c>
      <c r="F114" s="284">
        <f t="shared" si="61"/>
        <v>750774.21000000008</v>
      </c>
      <c r="G114" s="284" t="e">
        <f t="shared" si="61"/>
        <v>#VALUE!</v>
      </c>
      <c r="H114" s="284">
        <f t="shared" si="61"/>
        <v>1277346.1220450001</v>
      </c>
      <c r="I114" s="285">
        <f>F114/H114</f>
        <v>0.58776098118028408</v>
      </c>
      <c r="J114" s="285"/>
      <c r="K114" s="513">
        <f>((((((K60)+(K73))+(K82))+(K85))+(K99))+(K108))+(K113)</f>
        <v>526200.902045</v>
      </c>
      <c r="L114" s="306"/>
      <c r="M114" s="287" t="e">
        <f>((((((M60)+(M73))+(M82))+(M85))+(M99))+(M108))+(M113)</f>
        <v>#VALUE!</v>
      </c>
      <c r="N114" s="304" t="e">
        <f>((((((N60)+(N73))+(N82))+(N85))+(N99))+(N108))+(N113)</f>
        <v>#VALUE!</v>
      </c>
      <c r="O114" s="304" t="e">
        <f>((((((O60)+(O73))+(O82))+(O85))+(O99))+(O108))+(O113)</f>
        <v>#VALUE!</v>
      </c>
      <c r="P114" s="304" t="e">
        <f>((((((P60)+(P73))+(P82))+(P85))+(P99))+(P108))+(P113)</f>
        <v>#VALUE!</v>
      </c>
      <c r="Q114" s="304" t="e">
        <f>((((((Q60)+(Q73))+(Q82))+(Q85))+(Q99))+(Q108))+(Q113)</f>
        <v>#VALUE!</v>
      </c>
      <c r="R114" s="304"/>
      <c r="S114" s="342" t="e">
        <f>G114/(G235-950204.88)</f>
        <v>#VALUE!</v>
      </c>
    </row>
    <row r="115" spans="2:27" x14ac:dyDescent="0.75">
      <c r="B115" s="166" t="s">
        <v>67</v>
      </c>
      <c r="C115" s="315"/>
      <c r="D115" s="315"/>
      <c r="E115" s="316"/>
      <c r="F115" s="291"/>
      <c r="G115" s="316"/>
      <c r="H115" s="317"/>
      <c r="I115" s="276"/>
      <c r="J115" s="551"/>
      <c r="K115" s="316"/>
      <c r="L115" s="318"/>
      <c r="M115" s="271"/>
      <c r="N115" s="272"/>
      <c r="O115" s="272"/>
      <c r="P115" s="272"/>
      <c r="Q115" s="272"/>
      <c r="R115" s="272"/>
      <c r="S115" s="272"/>
    </row>
    <row r="116" spans="2:27" x14ac:dyDescent="0.75">
      <c r="B116" s="166" t="s">
        <v>68</v>
      </c>
      <c r="C116" s="315">
        <v>4900</v>
      </c>
      <c r="D116" s="315">
        <v>2000</v>
      </c>
      <c r="E116" s="316">
        <v>23000</v>
      </c>
      <c r="F116" s="291">
        <f>'P&amp;L (QB)'!B126</f>
        <v>0</v>
      </c>
      <c r="G116" s="316">
        <v>23000</v>
      </c>
      <c r="H116" s="317">
        <v>23000</v>
      </c>
      <c r="I116" s="276">
        <f t="shared" ref="I116:I119" si="62">F116/H116</f>
        <v>0</v>
      </c>
      <c r="J116" s="551"/>
      <c r="K116" s="538">
        <f t="shared" ref="K116:K119" si="63">H116-F116</f>
        <v>23000</v>
      </c>
      <c r="L116" s="318"/>
      <c r="M116" s="278">
        <f>G116</f>
        <v>23000</v>
      </c>
      <c r="N116" s="273">
        <f>G116*1.03</f>
        <v>23690</v>
      </c>
      <c r="O116" s="273">
        <f t="shared" ref="O116:Q116" si="64">N116*1.03</f>
        <v>24400.7</v>
      </c>
      <c r="P116" s="273">
        <f t="shared" si="64"/>
        <v>25132.721000000001</v>
      </c>
      <c r="Q116" s="273">
        <f t="shared" si="64"/>
        <v>25886.702630000003</v>
      </c>
      <c r="R116" s="273"/>
      <c r="S116" s="272" t="s">
        <v>586</v>
      </c>
    </row>
    <row r="117" spans="2:27" x14ac:dyDescent="0.75">
      <c r="B117" s="166" t="s">
        <v>69</v>
      </c>
      <c r="C117" s="320">
        <v>1680</v>
      </c>
      <c r="D117" s="320">
        <v>671.19</v>
      </c>
      <c r="E117" s="321">
        <v>20160</v>
      </c>
      <c r="F117" s="291">
        <f>'P&amp;L (QB)'!B127</f>
        <v>10920</v>
      </c>
      <c r="G117" s="321">
        <v>26460</v>
      </c>
      <c r="H117" s="322">
        <v>26460</v>
      </c>
      <c r="I117" s="298">
        <f t="shared" si="62"/>
        <v>0.41269841269841268</v>
      </c>
      <c r="J117" s="552"/>
      <c r="K117" s="537">
        <f t="shared" si="63"/>
        <v>15540</v>
      </c>
      <c r="L117" s="323"/>
      <c r="M117" s="278">
        <f t="shared" ref="M117:M127" si="65">G117</f>
        <v>26460</v>
      </c>
      <c r="N117" s="168">
        <v>36540</v>
      </c>
      <c r="O117" s="168">
        <v>41580</v>
      </c>
      <c r="P117" s="168">
        <v>46620</v>
      </c>
      <c r="Q117" s="168">
        <v>51660</v>
      </c>
      <c r="R117" s="168"/>
      <c r="S117" s="272" t="s">
        <v>896</v>
      </c>
    </row>
    <row r="118" spans="2:27" x14ac:dyDescent="0.75">
      <c r="B118" s="166" t="s">
        <v>70</v>
      </c>
      <c r="C118" s="320">
        <v>24999</v>
      </c>
      <c r="D118" s="320">
        <v>25000</v>
      </c>
      <c r="E118" s="321">
        <v>109530</v>
      </c>
      <c r="F118" s="291">
        <f>'P&amp;L (QB)'!B128</f>
        <v>57648.9</v>
      </c>
      <c r="G118" s="321">
        <f>127530-G122-7500-39530</f>
        <v>70000</v>
      </c>
      <c r="H118" s="322">
        <v>70000</v>
      </c>
      <c r="I118" s="298">
        <f t="shared" si="62"/>
        <v>0.82355571428571428</v>
      </c>
      <c r="J118" s="552"/>
      <c r="K118" s="537">
        <f t="shared" si="63"/>
        <v>12351.099999999999</v>
      </c>
      <c r="L118" s="323"/>
      <c r="M118" s="278">
        <v>60000</v>
      </c>
      <c r="N118" s="273">
        <f t="shared" ref="N118:N129" si="66">G118*1.03</f>
        <v>72100</v>
      </c>
      <c r="O118" s="273">
        <f t="shared" ref="O118:Q129" si="67">N118*1.03</f>
        <v>74263</v>
      </c>
      <c r="P118" s="273">
        <f t="shared" si="67"/>
        <v>76490.89</v>
      </c>
      <c r="Q118" s="273">
        <f t="shared" si="67"/>
        <v>78785.616699999999</v>
      </c>
      <c r="R118" s="273"/>
      <c r="S118" s="272" t="s">
        <v>587</v>
      </c>
    </row>
    <row r="119" spans="2:27" x14ac:dyDescent="0.75">
      <c r="B119" s="166" t="s">
        <v>71</v>
      </c>
      <c r="C119" s="320">
        <v>5000</v>
      </c>
      <c r="D119" s="320">
        <v>475</v>
      </c>
      <c r="E119" s="321">
        <v>10000</v>
      </c>
      <c r="F119" s="291">
        <f>'P&amp;L (QB)'!B129</f>
        <v>0</v>
      </c>
      <c r="G119" s="321">
        <v>10000</v>
      </c>
      <c r="H119" s="322">
        <v>10000</v>
      </c>
      <c r="I119" s="298">
        <f t="shared" si="62"/>
        <v>0</v>
      </c>
      <c r="J119" s="552"/>
      <c r="K119" s="537">
        <f t="shared" si="63"/>
        <v>10000</v>
      </c>
      <c r="L119" s="323"/>
      <c r="M119" s="278">
        <f t="shared" si="65"/>
        <v>10000</v>
      </c>
      <c r="N119" s="273">
        <f t="shared" si="66"/>
        <v>10300</v>
      </c>
      <c r="O119" s="273">
        <f t="shared" si="67"/>
        <v>10609</v>
      </c>
      <c r="P119" s="273">
        <f t="shared" si="67"/>
        <v>10927.27</v>
      </c>
      <c r="Q119" s="273">
        <f t="shared" si="67"/>
        <v>11255.088100000001</v>
      </c>
      <c r="R119" s="273"/>
      <c r="S119" s="272" t="s">
        <v>588</v>
      </c>
    </row>
    <row r="120" spans="2:27" x14ac:dyDescent="0.75">
      <c r="B120" s="166" t="s">
        <v>448</v>
      </c>
      <c r="C120" s="315"/>
      <c r="D120" s="315"/>
      <c r="E120" s="316">
        <v>0</v>
      </c>
      <c r="F120" s="291">
        <f>'P&amp;L (QB)'!B130</f>
        <v>0</v>
      </c>
      <c r="G120" s="316"/>
      <c r="H120" s="317">
        <v>0</v>
      </c>
      <c r="I120" s="276"/>
      <c r="J120" s="551"/>
      <c r="K120" s="538"/>
      <c r="L120" s="318"/>
      <c r="M120" s="278">
        <f t="shared" si="65"/>
        <v>0</v>
      </c>
      <c r="N120" s="273">
        <f t="shared" si="66"/>
        <v>0</v>
      </c>
      <c r="O120" s="273">
        <f t="shared" si="67"/>
        <v>0</v>
      </c>
      <c r="P120" s="273">
        <f t="shared" si="67"/>
        <v>0</v>
      </c>
      <c r="Q120" s="273">
        <f t="shared" si="67"/>
        <v>0</v>
      </c>
      <c r="R120" s="273"/>
      <c r="S120" s="272"/>
    </row>
    <row r="121" spans="2:27" x14ac:dyDescent="0.75">
      <c r="B121" s="166" t="s">
        <v>449</v>
      </c>
      <c r="C121" s="343"/>
      <c r="D121" s="343"/>
      <c r="E121" s="316"/>
      <c r="F121" s="291">
        <f>'P&amp;L (QB)'!B131</f>
        <v>0</v>
      </c>
      <c r="G121" s="316"/>
      <c r="H121" s="317">
        <v>0</v>
      </c>
      <c r="I121" s="276"/>
      <c r="J121" s="551"/>
      <c r="K121" s="538"/>
      <c r="L121" s="318"/>
      <c r="M121" s="278">
        <f t="shared" si="65"/>
        <v>0</v>
      </c>
      <c r="N121" s="273">
        <f t="shared" si="66"/>
        <v>0</v>
      </c>
      <c r="O121" s="273">
        <f t="shared" si="67"/>
        <v>0</v>
      </c>
      <c r="P121" s="273">
        <f t="shared" si="67"/>
        <v>0</v>
      </c>
      <c r="Q121" s="273">
        <f t="shared" si="67"/>
        <v>0</v>
      </c>
      <c r="R121" s="273"/>
      <c r="S121" s="272"/>
    </row>
    <row r="122" spans="2:27" x14ac:dyDescent="0.75">
      <c r="B122" s="166" t="s">
        <v>177</v>
      </c>
      <c r="C122" s="315"/>
      <c r="D122" s="315"/>
      <c r="E122" s="316">
        <v>10500</v>
      </c>
      <c r="F122" s="291">
        <f>'P&amp;L (QB)'!B132</f>
        <v>2500</v>
      </c>
      <c r="G122" s="316">
        <f>5500+5000</f>
        <v>10500</v>
      </c>
      <c r="H122" s="317">
        <v>10500</v>
      </c>
      <c r="I122" s="276">
        <f t="shared" ref="I122:I123" si="68">F122/H122</f>
        <v>0.23809523809523808</v>
      </c>
      <c r="J122" s="551"/>
      <c r="K122" s="538">
        <f t="shared" ref="K122:K123" si="69">H122-F122</f>
        <v>8000</v>
      </c>
      <c r="L122" s="318"/>
      <c r="M122" s="278">
        <v>5000</v>
      </c>
      <c r="N122" s="273">
        <f t="shared" si="66"/>
        <v>10815</v>
      </c>
      <c r="O122" s="273">
        <f t="shared" si="67"/>
        <v>11139.45</v>
      </c>
      <c r="P122" s="273">
        <f t="shared" si="67"/>
        <v>11473.633500000002</v>
      </c>
      <c r="Q122" s="273">
        <f t="shared" si="67"/>
        <v>11817.842505000002</v>
      </c>
      <c r="R122" s="273"/>
      <c r="S122" s="272" t="s">
        <v>589</v>
      </c>
    </row>
    <row r="123" spans="2:27" x14ac:dyDescent="0.75">
      <c r="B123" s="166" t="s">
        <v>72</v>
      </c>
      <c r="C123" s="343">
        <v>3000</v>
      </c>
      <c r="D123" s="343">
        <v>6000</v>
      </c>
      <c r="E123" s="316">
        <v>6000</v>
      </c>
      <c r="F123" s="291">
        <f>'P&amp;L (QB)'!B133</f>
        <v>3000</v>
      </c>
      <c r="G123" s="316">
        <v>6000</v>
      </c>
      <c r="H123" s="317">
        <v>6000</v>
      </c>
      <c r="I123" s="276">
        <f t="shared" si="68"/>
        <v>0.5</v>
      </c>
      <c r="J123" s="551"/>
      <c r="K123" s="538">
        <f t="shared" si="69"/>
        <v>3000</v>
      </c>
      <c r="L123" s="318"/>
      <c r="M123" s="278">
        <f t="shared" si="65"/>
        <v>6000</v>
      </c>
      <c r="N123" s="273">
        <f t="shared" si="66"/>
        <v>6180</v>
      </c>
      <c r="O123" s="273">
        <f t="shared" si="67"/>
        <v>6365.4000000000005</v>
      </c>
      <c r="P123" s="273">
        <f t="shared" si="67"/>
        <v>6556.362000000001</v>
      </c>
      <c r="Q123" s="273">
        <f t="shared" si="67"/>
        <v>6753.0528600000016</v>
      </c>
      <c r="R123" s="273"/>
      <c r="S123" s="272" t="s">
        <v>590</v>
      </c>
      <c r="Y123" s="344"/>
      <c r="AA123" s="344">
        <f>G118-70000</f>
        <v>0</v>
      </c>
    </row>
    <row r="124" spans="2:27" x14ac:dyDescent="0.75">
      <c r="B124" s="166" t="s">
        <v>108</v>
      </c>
      <c r="C124" s="315">
        <v>14000</v>
      </c>
      <c r="D124" s="315">
        <v>14000</v>
      </c>
      <c r="E124" s="316"/>
      <c r="F124" s="291">
        <f>'P&amp;L (QB)'!B134</f>
        <v>0</v>
      </c>
      <c r="G124" s="316"/>
      <c r="H124" s="317">
        <v>0</v>
      </c>
      <c r="I124" s="276"/>
      <c r="J124" s="551"/>
      <c r="K124" s="538"/>
      <c r="L124" s="318"/>
      <c r="M124" s="278">
        <f t="shared" si="65"/>
        <v>0</v>
      </c>
      <c r="N124" s="273">
        <f t="shared" si="66"/>
        <v>0</v>
      </c>
      <c r="O124" s="273">
        <f t="shared" si="67"/>
        <v>0</v>
      </c>
      <c r="P124" s="273">
        <f t="shared" si="67"/>
        <v>0</v>
      </c>
      <c r="Q124" s="273">
        <f t="shared" si="67"/>
        <v>0</v>
      </c>
      <c r="R124" s="273"/>
      <c r="S124" s="272"/>
    </row>
    <row r="125" spans="2:27" x14ac:dyDescent="0.75">
      <c r="B125" s="166" t="s">
        <v>450</v>
      </c>
      <c r="C125" s="315"/>
      <c r="D125" s="315"/>
      <c r="E125" s="316">
        <v>0</v>
      </c>
      <c r="F125" s="291">
        <f>'P&amp;L (QB)'!B135</f>
        <v>0</v>
      </c>
      <c r="G125" s="316"/>
      <c r="H125" s="317">
        <v>0</v>
      </c>
      <c r="I125" s="276"/>
      <c r="J125" s="551"/>
      <c r="K125" s="538"/>
      <c r="L125" s="318"/>
      <c r="M125" s="278">
        <f t="shared" si="65"/>
        <v>0</v>
      </c>
      <c r="N125" s="273">
        <f t="shared" si="66"/>
        <v>0</v>
      </c>
      <c r="O125" s="273">
        <f t="shared" si="67"/>
        <v>0</v>
      </c>
      <c r="P125" s="273">
        <f t="shared" si="67"/>
        <v>0</v>
      </c>
      <c r="Q125" s="273">
        <f t="shared" si="67"/>
        <v>0</v>
      </c>
      <c r="R125" s="273"/>
      <c r="S125" s="272"/>
    </row>
    <row r="126" spans="2:27" x14ac:dyDescent="0.75">
      <c r="B126" s="345" t="s">
        <v>451</v>
      </c>
      <c r="C126" s="346"/>
      <c r="D126" s="346"/>
      <c r="E126" s="347"/>
      <c r="F126" s="291">
        <f>'P&amp;L (QB)'!B136</f>
        <v>0</v>
      </c>
      <c r="G126" s="347"/>
      <c r="H126" s="348">
        <v>0</v>
      </c>
      <c r="I126" s="349"/>
      <c r="J126" s="554"/>
      <c r="K126" s="539">
        <f t="shared" ref="K126:K129" si="70">H126-F126</f>
        <v>0</v>
      </c>
      <c r="L126" s="350"/>
      <c r="M126" s="351"/>
      <c r="N126" s="352"/>
      <c r="O126" s="352"/>
      <c r="P126" s="352"/>
      <c r="Q126" s="352"/>
      <c r="R126" s="352"/>
      <c r="S126" s="353" t="s">
        <v>591</v>
      </c>
    </row>
    <row r="127" spans="2:27" x14ac:dyDescent="0.75">
      <c r="B127" s="166" t="s">
        <v>452</v>
      </c>
      <c r="C127" s="315"/>
      <c r="D127" s="315"/>
      <c r="E127" s="316">
        <v>4500</v>
      </c>
      <c r="F127" s="291">
        <f>'P&amp;L (QB)'!B137</f>
        <v>0</v>
      </c>
      <c r="G127" s="316">
        <f>4500</f>
        <v>4500</v>
      </c>
      <c r="H127" s="317">
        <v>4500</v>
      </c>
      <c r="I127" s="276">
        <f t="shared" ref="I127:I129" si="71">F127/H127</f>
        <v>0</v>
      </c>
      <c r="J127" s="551"/>
      <c r="K127" s="538">
        <f t="shared" si="70"/>
        <v>4500</v>
      </c>
      <c r="L127" s="318"/>
      <c r="M127" s="278">
        <f t="shared" si="65"/>
        <v>4500</v>
      </c>
      <c r="N127" s="273">
        <f t="shared" si="66"/>
        <v>4635</v>
      </c>
      <c r="O127" s="273">
        <f t="shared" si="67"/>
        <v>4774.05</v>
      </c>
      <c r="P127" s="273">
        <f t="shared" si="67"/>
        <v>4917.2715000000007</v>
      </c>
      <c r="Q127" s="273">
        <f t="shared" si="67"/>
        <v>5064.7896450000007</v>
      </c>
      <c r="R127" s="273"/>
      <c r="S127" s="281" t="s">
        <v>592</v>
      </c>
      <c r="AA127" s="724">
        <v>4500</v>
      </c>
    </row>
    <row r="128" spans="2:27" x14ac:dyDescent="0.75">
      <c r="B128" s="166" t="s">
        <v>264</v>
      </c>
      <c r="C128" s="315"/>
      <c r="D128" s="315"/>
      <c r="E128" s="316">
        <v>2500</v>
      </c>
      <c r="F128" s="291">
        <f>'P&amp;L (QB)'!B138</f>
        <v>0</v>
      </c>
      <c r="G128" s="316">
        <v>2500</v>
      </c>
      <c r="H128" s="317">
        <v>2500</v>
      </c>
      <c r="I128" s="276">
        <f t="shared" si="71"/>
        <v>0</v>
      </c>
      <c r="J128" s="551"/>
      <c r="K128" s="538">
        <f t="shared" si="70"/>
        <v>2500</v>
      </c>
      <c r="L128" s="318"/>
      <c r="M128" s="278">
        <v>15000</v>
      </c>
      <c r="N128" s="273">
        <f t="shared" si="66"/>
        <v>2575</v>
      </c>
      <c r="O128" s="273">
        <f t="shared" si="67"/>
        <v>2652.25</v>
      </c>
      <c r="P128" s="273">
        <f t="shared" si="67"/>
        <v>2731.8175000000001</v>
      </c>
      <c r="Q128" s="273">
        <f t="shared" si="67"/>
        <v>2813.7720250000002</v>
      </c>
      <c r="R128" s="273"/>
      <c r="S128" s="272" t="s">
        <v>593</v>
      </c>
      <c r="AA128" s="724">
        <v>2500</v>
      </c>
    </row>
    <row r="129" spans="2:27" x14ac:dyDescent="0.75">
      <c r="B129" s="338" t="s">
        <v>73</v>
      </c>
      <c r="C129" s="354">
        <v>10000</v>
      </c>
      <c r="D129" s="354">
        <v>6480</v>
      </c>
      <c r="E129" s="316">
        <v>103000</v>
      </c>
      <c r="F129" s="291">
        <f>'P&amp;L (QB)'!B139</f>
        <v>5380</v>
      </c>
      <c r="G129" s="316">
        <f>103000-93000+25000</f>
        <v>35000</v>
      </c>
      <c r="H129" s="317">
        <v>5380</v>
      </c>
      <c r="I129" s="276">
        <f t="shared" si="71"/>
        <v>1</v>
      </c>
      <c r="J129" s="551"/>
      <c r="K129" s="538">
        <f t="shared" si="70"/>
        <v>0</v>
      </c>
      <c r="L129" s="318"/>
      <c r="M129" s="278">
        <f>G129-93000</f>
        <v>-58000</v>
      </c>
      <c r="N129" s="355">
        <f t="shared" si="66"/>
        <v>36050</v>
      </c>
      <c r="O129" s="355">
        <f t="shared" si="67"/>
        <v>37131.5</v>
      </c>
      <c r="P129" s="355">
        <f t="shared" si="67"/>
        <v>38245.445</v>
      </c>
      <c r="Q129" s="355">
        <f t="shared" si="67"/>
        <v>39392.808349999999</v>
      </c>
      <c r="R129" s="355"/>
      <c r="S129" s="341" t="s">
        <v>594</v>
      </c>
    </row>
    <row r="130" spans="2:27" x14ac:dyDescent="0.75">
      <c r="B130" s="282" t="s">
        <v>74</v>
      </c>
      <c r="C130" s="283">
        <f t="shared" ref="C130:G130" si="72">(((((((((((((C115)+(C116))+(C117))+(C118))+(C119))+(C120))+(C121))+(C122))+(C123))+(C124))+(C125))+(C127))+(C128))+(C129)</f>
        <v>63579</v>
      </c>
      <c r="D130" s="283">
        <f t="shared" si="72"/>
        <v>54626.19</v>
      </c>
      <c r="E130" s="283">
        <f t="shared" si="72"/>
        <v>289190</v>
      </c>
      <c r="F130" s="284">
        <f>(((((((((((((F115)+(F116))+(F117))+(F118))+(F119))+(F120))+(F121))+(F122))+(F123))+(F124))+(F125))+F126+(F127))+(F128))+(F129)</f>
        <v>79448.899999999994</v>
      </c>
      <c r="G130" s="284">
        <f t="shared" si="72"/>
        <v>187960</v>
      </c>
      <c r="H130" s="284">
        <f>(((((((((((((H115)+(H116))+(H117))+(H118))+(H119))+(H120))+(H121))+(H122))+(H123))+(H124))+(H125))+H126+(H127))+(H128))+(H129)</f>
        <v>158340</v>
      </c>
      <c r="I130" s="285">
        <f>F130/H130</f>
        <v>0.50176139952002019</v>
      </c>
      <c r="J130" s="285"/>
      <c r="K130" s="513">
        <f>(((((((((((((K115)+(K116))+(K117))+(K118))+(K119))+(K120))+(K121))+(K122))+(K123))+(K124))+(K125))+K126+(K127))+(K128))+(K129)</f>
        <v>78891.100000000006</v>
      </c>
      <c r="L130" s="286"/>
      <c r="M130" s="287">
        <f t="shared" ref="M130:Q130" si="73">(((((((((((((M115)+(M116))+(M117))+(M118))+(M119))+(M120))+(M121))+(M122))+(M123))+(M124))+(M125))+(M127))+(M128))+(M129)</f>
        <v>91960</v>
      </c>
      <c r="N130" s="171">
        <f t="shared" si="73"/>
        <v>202885</v>
      </c>
      <c r="O130" s="171">
        <f t="shared" si="73"/>
        <v>212915.35</v>
      </c>
      <c r="P130" s="171">
        <f t="shared" si="73"/>
        <v>223095.4105</v>
      </c>
      <c r="Q130" s="171">
        <f t="shared" si="73"/>
        <v>233429.67281500003</v>
      </c>
      <c r="R130" s="171"/>
      <c r="S130" s="288"/>
    </row>
    <row r="131" spans="2:27" x14ac:dyDescent="0.75">
      <c r="B131" s="166" t="s">
        <v>75</v>
      </c>
      <c r="C131" s="315"/>
      <c r="D131" s="315"/>
      <c r="E131" s="316"/>
      <c r="F131" s="291"/>
      <c r="G131" s="316"/>
      <c r="H131" s="317"/>
      <c r="I131" s="276"/>
      <c r="J131" s="551"/>
      <c r="K131" s="316"/>
      <c r="L131" s="318"/>
      <c r="M131" s="271"/>
      <c r="N131" s="272"/>
      <c r="O131" s="272"/>
      <c r="P131" s="272"/>
      <c r="Q131" s="272"/>
      <c r="R131" s="272"/>
      <c r="S131" s="272"/>
    </row>
    <row r="132" spans="2:27" x14ac:dyDescent="0.75">
      <c r="B132" s="166" t="s">
        <v>109</v>
      </c>
      <c r="C132" s="315">
        <v>5000</v>
      </c>
      <c r="D132" s="315"/>
      <c r="E132" s="316">
        <v>1000</v>
      </c>
      <c r="F132" s="291">
        <f>'P&amp;L (QB)'!B142</f>
        <v>414.99</v>
      </c>
      <c r="G132" s="316">
        <v>1000</v>
      </c>
      <c r="H132" s="317">
        <v>1000</v>
      </c>
      <c r="I132" s="276">
        <f t="shared" ref="I132:I133" si="74">F132/H132</f>
        <v>0.41499000000000003</v>
      </c>
      <c r="J132" s="551"/>
      <c r="K132" s="538">
        <f t="shared" ref="K132:K133" si="75">H132-F132</f>
        <v>585.01</v>
      </c>
      <c r="L132" s="318"/>
      <c r="M132" s="278">
        <f t="shared" ref="M132:M133" si="76">G132</f>
        <v>1000</v>
      </c>
      <c r="N132" s="273">
        <v>1000</v>
      </c>
      <c r="O132" s="273">
        <v>1000</v>
      </c>
      <c r="P132" s="273">
        <v>1000</v>
      </c>
      <c r="Q132" s="273">
        <v>1000</v>
      </c>
      <c r="R132" s="273"/>
      <c r="S132" s="272" t="s">
        <v>595</v>
      </c>
    </row>
    <row r="133" spans="2:27" x14ac:dyDescent="0.75">
      <c r="B133" s="166" t="s">
        <v>267</v>
      </c>
      <c r="C133" s="315"/>
      <c r="D133" s="315"/>
      <c r="E133" s="316">
        <v>2500</v>
      </c>
      <c r="F133" s="291">
        <f>'P&amp;L (QB)'!B143</f>
        <v>4854.18</v>
      </c>
      <c r="G133" s="316">
        <v>7500</v>
      </c>
      <c r="H133" s="317">
        <v>7500</v>
      </c>
      <c r="I133" s="276">
        <f t="shared" si="74"/>
        <v>0.64722400000000002</v>
      </c>
      <c r="J133" s="551"/>
      <c r="K133" s="538">
        <f t="shared" si="75"/>
        <v>2645.8199999999997</v>
      </c>
      <c r="L133" s="318"/>
      <c r="M133" s="278">
        <f t="shared" si="76"/>
        <v>7500</v>
      </c>
      <c r="N133" s="273">
        <v>2500</v>
      </c>
      <c r="O133" s="273">
        <v>2500</v>
      </c>
      <c r="P133" s="273">
        <v>2500</v>
      </c>
      <c r="Q133" s="273">
        <v>2500</v>
      </c>
      <c r="R133" s="273"/>
      <c r="S133" s="272" t="s">
        <v>596</v>
      </c>
    </row>
    <row r="134" spans="2:27" x14ac:dyDescent="0.75">
      <c r="B134" s="282" t="s">
        <v>76</v>
      </c>
      <c r="C134" s="283">
        <f t="shared" ref="C134:G134" si="77">((C131)+(C132))+(C133)</f>
        <v>5000</v>
      </c>
      <c r="D134" s="283">
        <f t="shared" si="77"/>
        <v>0</v>
      </c>
      <c r="E134" s="283">
        <f t="shared" si="77"/>
        <v>3500</v>
      </c>
      <c r="F134" s="284">
        <f>((F131)+(F132))+(F133)</f>
        <v>5269.17</v>
      </c>
      <c r="G134" s="284">
        <f t="shared" si="77"/>
        <v>8500</v>
      </c>
      <c r="H134" s="284">
        <f>((H131)+(H132))+(H133)</f>
        <v>8500</v>
      </c>
      <c r="I134" s="285">
        <f>F134/H134</f>
        <v>0.61990235294117646</v>
      </c>
      <c r="J134" s="285"/>
      <c r="K134" s="513">
        <f>((K131)+(K132))+(K133)</f>
        <v>3230.83</v>
      </c>
      <c r="L134" s="286"/>
      <c r="M134" s="287">
        <f t="shared" ref="M134:Q134" si="78">((M131)+(M132))+(M133)</f>
        <v>8500</v>
      </c>
      <c r="N134" s="171">
        <f t="shared" si="78"/>
        <v>3500</v>
      </c>
      <c r="O134" s="171">
        <f t="shared" si="78"/>
        <v>3500</v>
      </c>
      <c r="P134" s="171">
        <f t="shared" si="78"/>
        <v>3500</v>
      </c>
      <c r="Q134" s="171">
        <f t="shared" si="78"/>
        <v>3500</v>
      </c>
      <c r="R134" s="171"/>
      <c r="S134" s="288"/>
    </row>
    <row r="135" spans="2:27" x14ac:dyDescent="0.75">
      <c r="B135" s="166" t="s">
        <v>166</v>
      </c>
      <c r="C135" s="315"/>
      <c r="D135" s="315"/>
      <c r="E135" s="316"/>
      <c r="F135" s="291"/>
      <c r="G135" s="316"/>
      <c r="H135" s="317"/>
      <c r="I135" s="276"/>
      <c r="J135" s="551"/>
      <c r="K135" s="316"/>
      <c r="L135" s="318"/>
      <c r="M135" s="271"/>
      <c r="N135" s="272"/>
      <c r="O135" s="272"/>
      <c r="P135" s="272"/>
      <c r="Q135" s="272"/>
      <c r="R135" s="272"/>
      <c r="S135" s="272"/>
    </row>
    <row r="136" spans="2:27" x14ac:dyDescent="0.75">
      <c r="B136" s="166" t="s">
        <v>167</v>
      </c>
      <c r="C136" s="315"/>
      <c r="D136" s="315">
        <v>8.99</v>
      </c>
      <c r="E136" s="316">
        <v>30000</v>
      </c>
      <c r="F136" s="291">
        <f>'P&amp;L (QB)'!B146</f>
        <v>33194.379999999997</v>
      </c>
      <c r="G136" s="316">
        <f>250*G8</f>
        <v>30000</v>
      </c>
      <c r="H136" s="317">
        <v>30000</v>
      </c>
      <c r="I136" s="276">
        <f t="shared" ref="I136:I141" si="79">F136/H136</f>
        <v>1.1064793333333331</v>
      </c>
      <c r="J136" s="551"/>
      <c r="K136" s="538">
        <f t="shared" ref="K136:K141" si="80">H136-F136</f>
        <v>-3194.3799999999974</v>
      </c>
      <c r="L136" s="318"/>
      <c r="M136" s="278">
        <f t="shared" ref="M136:M142" si="81">G136</f>
        <v>30000</v>
      </c>
      <c r="N136" s="273">
        <f>250*N8</f>
        <v>45000</v>
      </c>
      <c r="O136" s="273">
        <f>N136*1.03</f>
        <v>46350</v>
      </c>
      <c r="P136" s="273">
        <f t="shared" ref="P136:Q136" si="82">O136*1.03</f>
        <v>47740.5</v>
      </c>
      <c r="Q136" s="273">
        <f t="shared" si="82"/>
        <v>49172.715000000004</v>
      </c>
      <c r="R136" s="273"/>
      <c r="S136" s="272" t="s">
        <v>597</v>
      </c>
    </row>
    <row r="137" spans="2:27" x14ac:dyDescent="0.75">
      <c r="B137" s="166" t="s">
        <v>268</v>
      </c>
      <c r="C137" s="343"/>
      <c r="D137" s="343"/>
      <c r="E137" s="316">
        <v>4000</v>
      </c>
      <c r="F137" s="291">
        <f>'P&amp;L (QB)'!B147</f>
        <v>0</v>
      </c>
      <c r="G137" s="316">
        <f>1000*4</f>
        <v>4000</v>
      </c>
      <c r="H137" s="317">
        <v>4000</v>
      </c>
      <c r="I137" s="276">
        <f t="shared" si="79"/>
        <v>0</v>
      </c>
      <c r="J137" s="551"/>
      <c r="K137" s="538">
        <f t="shared" si="80"/>
        <v>4000</v>
      </c>
      <c r="L137" s="318"/>
      <c r="M137" s="278">
        <f t="shared" si="81"/>
        <v>4000</v>
      </c>
      <c r="N137" s="272"/>
      <c r="O137" s="272"/>
      <c r="P137" s="272"/>
      <c r="Q137" s="272"/>
      <c r="R137" s="272"/>
      <c r="S137" s="272" t="s">
        <v>598</v>
      </c>
      <c r="AA137" s="724">
        <v>4000</v>
      </c>
    </row>
    <row r="138" spans="2:27" x14ac:dyDescent="0.75">
      <c r="B138" s="166" t="s">
        <v>269</v>
      </c>
      <c r="C138" s="343"/>
      <c r="D138" s="343"/>
      <c r="E138" s="316">
        <v>4000</v>
      </c>
      <c r="F138" s="291">
        <f>'P&amp;L (QB)'!B148</f>
        <v>513.38</v>
      </c>
      <c r="G138" s="316">
        <f>1000*4</f>
        <v>4000</v>
      </c>
      <c r="H138" s="317">
        <v>4000</v>
      </c>
      <c r="I138" s="276">
        <f t="shared" si="79"/>
        <v>0.12834499999999999</v>
      </c>
      <c r="J138" s="551"/>
      <c r="K138" s="538">
        <f t="shared" si="80"/>
        <v>3486.62</v>
      </c>
      <c r="L138" s="318"/>
      <c r="M138" s="278">
        <f t="shared" si="81"/>
        <v>4000</v>
      </c>
      <c r="N138" s="272"/>
      <c r="O138" s="272"/>
      <c r="P138" s="272"/>
      <c r="Q138" s="272"/>
      <c r="R138" s="272"/>
      <c r="S138" s="272" t="s">
        <v>598</v>
      </c>
      <c r="AA138" s="724">
        <v>3000</v>
      </c>
    </row>
    <row r="139" spans="2:27" x14ac:dyDescent="0.75">
      <c r="B139" s="166" t="s">
        <v>270</v>
      </c>
      <c r="C139" s="343"/>
      <c r="D139" s="343"/>
      <c r="E139" s="316">
        <v>4000</v>
      </c>
      <c r="F139" s="291">
        <f>'P&amp;L (QB)'!B151</f>
        <v>385.06</v>
      </c>
      <c r="G139" s="316">
        <v>4000</v>
      </c>
      <c r="H139" s="317">
        <v>4000</v>
      </c>
      <c r="I139" s="276">
        <f t="shared" si="79"/>
        <v>9.6265000000000003E-2</v>
      </c>
      <c r="J139" s="551"/>
      <c r="K139" s="538">
        <f t="shared" si="80"/>
        <v>3614.94</v>
      </c>
      <c r="L139" s="318"/>
      <c r="M139" s="278">
        <f t="shared" si="81"/>
        <v>4000</v>
      </c>
      <c r="N139" s="272"/>
      <c r="O139" s="272"/>
      <c r="P139" s="272"/>
      <c r="Q139" s="272"/>
      <c r="R139" s="272"/>
      <c r="S139" s="272" t="s">
        <v>599</v>
      </c>
      <c r="AA139" s="724">
        <v>3000</v>
      </c>
    </row>
    <row r="140" spans="2:27" x14ac:dyDescent="0.75">
      <c r="B140" s="166" t="s">
        <v>455</v>
      </c>
      <c r="C140" s="315"/>
      <c r="D140" s="315"/>
      <c r="E140" s="316">
        <v>1797.6000000000001</v>
      </c>
      <c r="F140" s="291">
        <f>'P&amp;L (QB)'!B152</f>
        <v>0</v>
      </c>
      <c r="G140" s="316">
        <f>G26</f>
        <v>1797.6000000000001</v>
      </c>
      <c r="H140" s="317">
        <v>1797.6000000000001</v>
      </c>
      <c r="I140" s="276">
        <f t="shared" si="79"/>
        <v>0</v>
      </c>
      <c r="J140" s="551"/>
      <c r="K140" s="538">
        <f t="shared" si="80"/>
        <v>1797.6000000000001</v>
      </c>
      <c r="L140" s="318"/>
      <c r="M140" s="278">
        <f t="shared" si="81"/>
        <v>1797.6000000000001</v>
      </c>
      <c r="N140" s="273">
        <f t="shared" ref="N140:Q141" si="83">N26</f>
        <v>2696.4</v>
      </c>
      <c r="O140" s="273">
        <f t="shared" si="83"/>
        <v>3595.2000000000003</v>
      </c>
      <c r="P140" s="273">
        <f t="shared" si="83"/>
        <v>4494</v>
      </c>
      <c r="Q140" s="273">
        <f t="shared" si="83"/>
        <v>5392.8</v>
      </c>
      <c r="R140" s="273"/>
      <c r="S140" s="272" t="s">
        <v>600</v>
      </c>
    </row>
    <row r="141" spans="2:27" x14ac:dyDescent="0.75">
      <c r="B141" s="166" t="s">
        <v>456</v>
      </c>
      <c r="C141" s="315"/>
      <c r="D141" s="315"/>
      <c r="E141" s="316">
        <v>750</v>
      </c>
      <c r="F141" s="291">
        <f>'P&amp;L (QB)'!B153</f>
        <v>0</v>
      </c>
      <c r="G141" s="316">
        <f>G27</f>
        <v>750</v>
      </c>
      <c r="H141" s="317">
        <v>750</v>
      </c>
      <c r="I141" s="276">
        <f t="shared" si="79"/>
        <v>0</v>
      </c>
      <c r="J141" s="551"/>
      <c r="K141" s="538">
        <f t="shared" si="80"/>
        <v>750</v>
      </c>
      <c r="L141" s="318"/>
      <c r="M141" s="278">
        <f t="shared" si="81"/>
        <v>750</v>
      </c>
      <c r="N141" s="273">
        <f t="shared" si="83"/>
        <v>1125</v>
      </c>
      <c r="O141" s="273">
        <f t="shared" si="83"/>
        <v>1500</v>
      </c>
      <c r="P141" s="273">
        <f t="shared" si="83"/>
        <v>1875</v>
      </c>
      <c r="Q141" s="273">
        <f t="shared" si="83"/>
        <v>2250</v>
      </c>
      <c r="R141" s="273"/>
      <c r="S141" s="272" t="s">
        <v>601</v>
      </c>
    </row>
    <row r="142" spans="2:27" x14ac:dyDescent="0.75">
      <c r="B142" s="166" t="s">
        <v>457</v>
      </c>
      <c r="C142" s="315"/>
      <c r="D142" s="315">
        <v>1620</v>
      </c>
      <c r="E142" s="316">
        <v>0</v>
      </c>
      <c r="F142" s="291">
        <f>'P&amp;L (QB)'!B154</f>
        <v>0</v>
      </c>
      <c r="G142" s="316"/>
      <c r="H142" s="317">
        <v>0</v>
      </c>
      <c r="I142" s="276"/>
      <c r="J142" s="551"/>
      <c r="K142" s="538"/>
      <c r="L142" s="318"/>
      <c r="M142" s="278">
        <f t="shared" si="81"/>
        <v>0</v>
      </c>
      <c r="N142" s="272"/>
      <c r="O142" s="272"/>
      <c r="P142" s="272"/>
      <c r="Q142" s="272"/>
      <c r="R142" s="272"/>
      <c r="S142" s="272"/>
    </row>
    <row r="143" spans="2:27" x14ac:dyDescent="0.75">
      <c r="B143" s="282" t="s">
        <v>168</v>
      </c>
      <c r="C143" s="283">
        <f t="shared" ref="C143:G143" si="84">(((((((C135)+(C136))+(C137))+(C138))+(C139))+(C140))+(C141))+(C142)</f>
        <v>0</v>
      </c>
      <c r="D143" s="283">
        <f t="shared" si="84"/>
        <v>1628.99</v>
      </c>
      <c r="E143" s="283">
        <f t="shared" si="84"/>
        <v>44547.6</v>
      </c>
      <c r="F143" s="284">
        <f>(((((((F135)+(F136))+(F137))+(F138))+(F139))+(F140))+(F141))+(F142)</f>
        <v>34092.819999999992</v>
      </c>
      <c r="G143" s="284">
        <f t="shared" si="84"/>
        <v>44547.6</v>
      </c>
      <c r="H143" s="284">
        <f>(((((((H135)+(H136))+(H137))+(H138))+(H139))+(H140))+(H141))+(H142)</f>
        <v>44547.6</v>
      </c>
      <c r="I143" s="285">
        <f>F143/H143</f>
        <v>0.76531216047553619</v>
      </c>
      <c r="J143" s="285"/>
      <c r="K143" s="513">
        <f>(((((((K135)+(K136))+(K137))+(K138))+(K139))+(K140))+(K141))+(K142)</f>
        <v>10454.780000000002</v>
      </c>
      <c r="L143" s="286"/>
      <c r="M143" s="287">
        <f t="shared" ref="M143:Q143" si="85">(((((((M135)+(M136))+(M137))+(M138))+(M139))+(M140))+(M141))+(M142)</f>
        <v>44547.6</v>
      </c>
      <c r="N143" s="171">
        <f t="shared" si="85"/>
        <v>48821.4</v>
      </c>
      <c r="O143" s="171">
        <f t="shared" si="85"/>
        <v>51445.2</v>
      </c>
      <c r="P143" s="171">
        <f t="shared" si="85"/>
        <v>54109.5</v>
      </c>
      <c r="Q143" s="171">
        <f t="shared" si="85"/>
        <v>56815.515000000007</v>
      </c>
      <c r="R143" s="171"/>
      <c r="S143" s="288"/>
    </row>
    <row r="144" spans="2:27" x14ac:dyDescent="0.75">
      <c r="B144" s="166" t="s">
        <v>458</v>
      </c>
      <c r="C144" s="315"/>
      <c r="D144" s="315"/>
      <c r="E144" s="316"/>
      <c r="F144" s="291"/>
      <c r="G144" s="316"/>
      <c r="H144" s="317"/>
      <c r="I144" s="276"/>
      <c r="J144" s="551"/>
      <c r="K144" s="316"/>
      <c r="L144" s="318"/>
      <c r="M144" s="271"/>
      <c r="N144" s="272"/>
      <c r="O144" s="272"/>
      <c r="P144" s="272"/>
      <c r="Q144" s="272"/>
      <c r="R144" s="272"/>
      <c r="S144" s="272"/>
    </row>
    <row r="145" spans="2:27" x14ac:dyDescent="0.75">
      <c r="B145" s="166" t="s">
        <v>459</v>
      </c>
      <c r="C145" s="343"/>
      <c r="D145" s="343"/>
      <c r="E145" s="316">
        <v>2400</v>
      </c>
      <c r="F145" s="291">
        <f>'P&amp;L (QB)'!B157</f>
        <v>0</v>
      </c>
      <c r="G145" s="316">
        <f>5200+17414</f>
        <v>22614</v>
      </c>
      <c r="H145" s="317">
        <v>2400</v>
      </c>
      <c r="I145" s="276">
        <f>F145/H145</f>
        <v>0</v>
      </c>
      <c r="J145" s="551"/>
      <c r="K145" s="538">
        <f>H145-F145</f>
        <v>2400</v>
      </c>
      <c r="L145" s="318"/>
      <c r="M145" s="278">
        <f>G145</f>
        <v>22614</v>
      </c>
      <c r="N145" s="273">
        <v>3600</v>
      </c>
      <c r="O145" s="273">
        <v>4800</v>
      </c>
      <c r="P145" s="273">
        <v>6000</v>
      </c>
      <c r="Q145" s="273">
        <v>7200</v>
      </c>
      <c r="R145" s="273"/>
      <c r="S145" s="272" t="s">
        <v>602</v>
      </c>
      <c r="AA145" s="724">
        <v>2400</v>
      </c>
    </row>
    <row r="146" spans="2:27" x14ac:dyDescent="0.75">
      <c r="B146" s="282" t="s">
        <v>460</v>
      </c>
      <c r="C146" s="283">
        <f t="shared" ref="C146:G146" si="86">(C144)+(C145)</f>
        <v>0</v>
      </c>
      <c r="D146" s="283">
        <f t="shared" si="86"/>
        <v>0</v>
      </c>
      <c r="E146" s="283">
        <f t="shared" si="86"/>
        <v>2400</v>
      </c>
      <c r="F146" s="284">
        <f>(F144)+(F145)</f>
        <v>0</v>
      </c>
      <c r="G146" s="284">
        <f t="shared" si="86"/>
        <v>22614</v>
      </c>
      <c r="H146" s="284">
        <f>(H144)+(H145)</f>
        <v>2400</v>
      </c>
      <c r="I146" s="285">
        <f>F146/H146</f>
        <v>0</v>
      </c>
      <c r="J146" s="285"/>
      <c r="K146" s="513">
        <f>(K144)+(K145)</f>
        <v>2400</v>
      </c>
      <c r="L146" s="286"/>
      <c r="M146" s="287">
        <f t="shared" ref="M146:Q146" si="87">(M144)+(M145)</f>
        <v>22614</v>
      </c>
      <c r="N146" s="171">
        <f t="shared" si="87"/>
        <v>3600</v>
      </c>
      <c r="O146" s="171">
        <f t="shared" si="87"/>
        <v>4800</v>
      </c>
      <c r="P146" s="171">
        <f t="shared" si="87"/>
        <v>6000</v>
      </c>
      <c r="Q146" s="171">
        <f t="shared" si="87"/>
        <v>7200</v>
      </c>
      <c r="R146" s="171"/>
      <c r="S146" s="288"/>
    </row>
    <row r="147" spans="2:27" x14ac:dyDescent="0.75">
      <c r="B147" s="166" t="s">
        <v>272</v>
      </c>
      <c r="C147" s="315"/>
      <c r="D147" s="315"/>
      <c r="E147" s="316"/>
      <c r="F147" s="291"/>
      <c r="G147" s="316"/>
      <c r="H147" s="317"/>
      <c r="I147" s="276"/>
      <c r="J147" s="551"/>
      <c r="K147" s="316"/>
      <c r="L147" s="318"/>
      <c r="M147" s="271"/>
      <c r="N147" s="272"/>
      <c r="O147" s="272"/>
      <c r="P147" s="272"/>
      <c r="Q147" s="272"/>
      <c r="R147" s="272"/>
      <c r="S147" s="272"/>
    </row>
    <row r="148" spans="2:27" x14ac:dyDescent="0.75">
      <c r="B148" s="166" t="s">
        <v>273</v>
      </c>
      <c r="C148" s="315"/>
      <c r="D148" s="315"/>
      <c r="E148" s="316">
        <v>24000</v>
      </c>
      <c r="F148" s="291">
        <f>'P&amp;L (QB)'!B160</f>
        <v>8706.3799999999992</v>
      </c>
      <c r="G148" s="316">
        <v>24000</v>
      </c>
      <c r="H148" s="317">
        <v>12000</v>
      </c>
      <c r="I148" s="276">
        <f>F148/H148</f>
        <v>0.72553166666666657</v>
      </c>
      <c r="J148" s="551"/>
      <c r="K148" s="538">
        <f>H148-F148</f>
        <v>3293.6200000000008</v>
      </c>
      <c r="L148" s="318"/>
      <c r="M148" s="278">
        <f t="shared" ref="M148:M151" si="88">G148</f>
        <v>24000</v>
      </c>
      <c r="N148" s="273">
        <v>36000</v>
      </c>
      <c r="O148" s="273">
        <v>48000</v>
      </c>
      <c r="P148" s="273">
        <v>60000</v>
      </c>
      <c r="Q148" s="273">
        <v>72000</v>
      </c>
      <c r="R148" s="273"/>
      <c r="S148" s="272" t="s">
        <v>603</v>
      </c>
    </row>
    <row r="149" spans="2:27" x14ac:dyDescent="0.75">
      <c r="B149" s="166" t="s">
        <v>461</v>
      </c>
      <c r="C149" s="343"/>
      <c r="D149" s="343"/>
      <c r="E149" s="316"/>
      <c r="F149" s="291">
        <f>'P&amp;L (QB)'!B161</f>
        <v>0</v>
      </c>
      <c r="G149" s="316"/>
      <c r="H149" s="317">
        <v>0</v>
      </c>
      <c r="I149" s="276"/>
      <c r="J149" s="551"/>
      <c r="K149" s="538"/>
      <c r="L149" s="318"/>
      <c r="M149" s="278">
        <f t="shared" si="88"/>
        <v>0</v>
      </c>
      <c r="N149" s="272"/>
      <c r="O149" s="272"/>
      <c r="P149" s="272"/>
      <c r="Q149" s="272"/>
      <c r="R149" s="272"/>
      <c r="S149" s="272"/>
    </row>
    <row r="150" spans="2:27" x14ac:dyDescent="0.75">
      <c r="B150" s="166" t="s">
        <v>274</v>
      </c>
      <c r="C150" s="343"/>
      <c r="D150" s="343"/>
      <c r="E150" s="316">
        <v>25000</v>
      </c>
      <c r="F150" s="291">
        <f>'P&amp;L (QB)'!B162</f>
        <v>15528.21</v>
      </c>
      <c r="G150" s="316">
        <v>25000</v>
      </c>
      <c r="H150" s="317">
        <v>25000</v>
      </c>
      <c r="I150" s="276">
        <f>F150/H150</f>
        <v>0.62112839999999991</v>
      </c>
      <c r="J150" s="551"/>
      <c r="K150" s="538">
        <f>H150-F150</f>
        <v>9471.7900000000009</v>
      </c>
      <c r="L150" s="318"/>
      <c r="M150" s="278">
        <f t="shared" si="88"/>
        <v>25000</v>
      </c>
      <c r="N150" s="341"/>
      <c r="O150" s="341"/>
      <c r="P150" s="341"/>
      <c r="Q150" s="341"/>
      <c r="R150" s="341"/>
      <c r="S150" s="356" t="s">
        <v>604</v>
      </c>
    </row>
    <row r="151" spans="2:27" x14ac:dyDescent="0.75">
      <c r="B151" s="166" t="s">
        <v>462</v>
      </c>
      <c r="C151" s="315">
        <f>C25</f>
        <v>0</v>
      </c>
      <c r="D151" s="315"/>
      <c r="E151" s="316">
        <v>6990</v>
      </c>
      <c r="F151" s="291">
        <f>'P&amp;L (QB)'!B163</f>
        <v>0</v>
      </c>
      <c r="G151" s="316">
        <f>G25</f>
        <v>6990</v>
      </c>
      <c r="H151" s="317">
        <v>6990</v>
      </c>
      <c r="I151" s="276">
        <f>F151/H151</f>
        <v>0</v>
      </c>
      <c r="J151" s="551"/>
      <c r="K151" s="538">
        <f>H151-F151</f>
        <v>6990</v>
      </c>
      <c r="L151" s="318"/>
      <c r="M151" s="278">
        <f t="shared" si="88"/>
        <v>6990</v>
      </c>
      <c r="N151" s="355">
        <f>N25</f>
        <v>10485</v>
      </c>
      <c r="O151" s="355">
        <f>O25</f>
        <v>13980</v>
      </c>
      <c r="P151" s="355">
        <f>P25</f>
        <v>17475</v>
      </c>
      <c r="Q151" s="355">
        <f>Q25</f>
        <v>20970</v>
      </c>
      <c r="R151" s="355"/>
      <c r="S151" s="341" t="s">
        <v>601</v>
      </c>
    </row>
    <row r="152" spans="2:27" x14ac:dyDescent="0.75">
      <c r="B152" s="282" t="s">
        <v>271</v>
      </c>
      <c r="C152" s="283">
        <f t="shared" ref="C152:G152" si="89">((((C147)+(C148))+(C149))+(C150))+(C151)</f>
        <v>0</v>
      </c>
      <c r="D152" s="283">
        <f t="shared" si="89"/>
        <v>0</v>
      </c>
      <c r="E152" s="283">
        <f t="shared" si="89"/>
        <v>55990</v>
      </c>
      <c r="F152" s="284">
        <f>((((F147)+(F148))+(F149))+(F150))+(F151)</f>
        <v>24234.589999999997</v>
      </c>
      <c r="G152" s="284">
        <f t="shared" si="89"/>
        <v>55990</v>
      </c>
      <c r="H152" s="284">
        <f>((((H147)+(H148))+(H149))+(H150))+(H151)</f>
        <v>43990</v>
      </c>
      <c r="I152" s="285">
        <f>F152/H152</f>
        <v>0.55091134348715609</v>
      </c>
      <c r="J152" s="285"/>
      <c r="K152" s="513">
        <f>((((K147)+(K148))+(K149))+(K150))+(K151)</f>
        <v>19755.410000000003</v>
      </c>
      <c r="L152" s="286"/>
      <c r="M152" s="287">
        <f t="shared" ref="M152:Q152" si="90">((((M147)+(M148))+(M149))+(M150))+(M151)</f>
        <v>55990</v>
      </c>
      <c r="N152" s="171">
        <f t="shared" si="90"/>
        <v>46485</v>
      </c>
      <c r="O152" s="171">
        <f t="shared" si="90"/>
        <v>61980</v>
      </c>
      <c r="P152" s="171">
        <f t="shared" si="90"/>
        <v>77475</v>
      </c>
      <c r="Q152" s="171">
        <f t="shared" si="90"/>
        <v>92970</v>
      </c>
      <c r="R152" s="171"/>
      <c r="S152" s="288"/>
    </row>
    <row r="153" spans="2:27" x14ac:dyDescent="0.75">
      <c r="B153" s="166" t="s">
        <v>463</v>
      </c>
      <c r="C153" s="315"/>
      <c r="D153" s="315"/>
      <c r="E153" s="316"/>
      <c r="F153" s="291"/>
      <c r="G153" s="316"/>
      <c r="H153" s="317"/>
      <c r="I153" s="276"/>
      <c r="J153" s="551"/>
      <c r="K153" s="316"/>
      <c r="L153" s="318"/>
      <c r="M153" s="271"/>
      <c r="N153" s="272"/>
      <c r="O153" s="272"/>
      <c r="P153" s="272"/>
      <c r="Q153" s="272"/>
      <c r="R153" s="272"/>
      <c r="S153" s="272"/>
    </row>
    <row r="154" spans="2:27" x14ac:dyDescent="0.75">
      <c r="B154" s="166" t="s">
        <v>464</v>
      </c>
      <c r="C154" s="343"/>
      <c r="D154" s="343"/>
      <c r="E154" s="316">
        <v>5000</v>
      </c>
      <c r="F154" s="291">
        <f>'P&amp;L (QB)'!B166</f>
        <v>503.63</v>
      </c>
      <c r="G154" s="316">
        <v>5000</v>
      </c>
      <c r="H154" s="317">
        <v>5000</v>
      </c>
      <c r="I154" s="276">
        <f t="shared" ref="I154:I156" si="91">F154/H154</f>
        <v>0.100726</v>
      </c>
      <c r="J154" s="551"/>
      <c r="K154" s="538">
        <f>H154-F154</f>
        <v>4496.37</v>
      </c>
      <c r="L154" s="318"/>
      <c r="M154" s="278">
        <f t="shared" ref="M154:M156" si="92">G154</f>
        <v>5000</v>
      </c>
      <c r="N154" s="341"/>
      <c r="O154" s="341"/>
      <c r="P154" s="341"/>
      <c r="Q154" s="341"/>
      <c r="R154" s="341"/>
      <c r="S154" s="341" t="s">
        <v>605</v>
      </c>
    </row>
    <row r="155" spans="2:27" x14ac:dyDescent="0.75">
      <c r="B155" s="166" t="s">
        <v>465</v>
      </c>
      <c r="C155" s="343"/>
      <c r="D155" s="343"/>
      <c r="E155" s="316">
        <v>2500</v>
      </c>
      <c r="F155" s="291">
        <f>'P&amp;L (QB)'!B167</f>
        <v>130.11000000000001</v>
      </c>
      <c r="G155" s="316">
        <v>2500</v>
      </c>
      <c r="H155" s="317">
        <v>2500</v>
      </c>
      <c r="I155" s="276">
        <f t="shared" si="91"/>
        <v>5.2044000000000007E-2</v>
      </c>
      <c r="J155" s="551"/>
      <c r="K155" s="538">
        <f>H155-F155</f>
        <v>2369.89</v>
      </c>
      <c r="L155" s="318"/>
      <c r="M155" s="278">
        <f t="shared" si="92"/>
        <v>2500</v>
      </c>
      <c r="N155" s="341"/>
      <c r="O155" s="341"/>
      <c r="P155" s="341"/>
      <c r="Q155" s="341"/>
      <c r="R155" s="341"/>
      <c r="S155" s="341" t="s">
        <v>606</v>
      </c>
      <c r="AA155" s="724">
        <v>2000</v>
      </c>
    </row>
    <row r="156" spans="2:27" x14ac:dyDescent="0.75">
      <c r="B156" s="166" t="s">
        <v>466</v>
      </c>
      <c r="C156" s="343"/>
      <c r="D156" s="343"/>
      <c r="E156" s="316">
        <v>6000</v>
      </c>
      <c r="F156" s="291">
        <f>'P&amp;L (QB)'!B168</f>
        <v>2207.4699999999998</v>
      </c>
      <c r="G156" s="316">
        <v>6000</v>
      </c>
      <c r="H156" s="317">
        <v>6000</v>
      </c>
      <c r="I156" s="276">
        <f t="shared" si="91"/>
        <v>0.36791166666666664</v>
      </c>
      <c r="J156" s="551"/>
      <c r="K156" s="538">
        <f>H156-F156</f>
        <v>3792.53</v>
      </c>
      <c r="L156" s="318"/>
      <c r="M156" s="278">
        <f t="shared" si="92"/>
        <v>6000</v>
      </c>
      <c r="N156" s="341"/>
      <c r="O156" s="341"/>
      <c r="P156" s="341"/>
      <c r="Q156" s="341"/>
      <c r="R156" s="341"/>
      <c r="S156" s="341" t="s">
        <v>607</v>
      </c>
    </row>
    <row r="157" spans="2:27" x14ac:dyDescent="0.75">
      <c r="B157" s="282" t="s">
        <v>276</v>
      </c>
      <c r="C157" s="283">
        <f t="shared" ref="C157:G157" si="93">(((C153)+(C154))+(C155))+(C156)</f>
        <v>0</v>
      </c>
      <c r="D157" s="283">
        <f t="shared" si="93"/>
        <v>0</v>
      </c>
      <c r="E157" s="283">
        <f t="shared" si="93"/>
        <v>13500</v>
      </c>
      <c r="F157" s="284">
        <f>(((F153)+(F154))+(F155))+(F156)</f>
        <v>2841.21</v>
      </c>
      <c r="G157" s="284">
        <f t="shared" si="93"/>
        <v>13500</v>
      </c>
      <c r="H157" s="284">
        <f>(((H153)+(H154))+(H155))+(H156)</f>
        <v>13500</v>
      </c>
      <c r="I157" s="285">
        <f>F157/H157</f>
        <v>0.21046000000000001</v>
      </c>
      <c r="J157" s="285"/>
      <c r="K157" s="513">
        <f>(((K153)+(K154))+(K155))+(K156)</f>
        <v>10658.79</v>
      </c>
      <c r="L157" s="286"/>
      <c r="M157" s="287">
        <f t="shared" ref="M157:Q157" si="94">(((M153)+(M154))+(M155))+(M156)</f>
        <v>13500</v>
      </c>
      <c r="N157" s="171">
        <f t="shared" si="94"/>
        <v>0</v>
      </c>
      <c r="O157" s="171">
        <f t="shared" si="94"/>
        <v>0</v>
      </c>
      <c r="P157" s="171">
        <f t="shared" si="94"/>
        <v>0</v>
      </c>
      <c r="Q157" s="171">
        <f t="shared" si="94"/>
        <v>0</v>
      </c>
      <c r="R157" s="171"/>
      <c r="S157" s="288"/>
    </row>
    <row r="158" spans="2:27" x14ac:dyDescent="0.75">
      <c r="B158" s="166" t="s">
        <v>161</v>
      </c>
      <c r="C158" s="315"/>
      <c r="D158" s="315"/>
      <c r="E158" s="316"/>
      <c r="F158" s="291"/>
      <c r="G158" s="316"/>
      <c r="H158" s="317"/>
      <c r="I158" s="276"/>
      <c r="J158" s="551"/>
      <c r="K158" s="316"/>
      <c r="L158" s="318"/>
      <c r="M158" s="271"/>
      <c r="N158" s="272"/>
      <c r="O158" s="272"/>
      <c r="P158" s="272"/>
      <c r="Q158" s="272"/>
      <c r="R158" s="272"/>
      <c r="S158" s="272"/>
    </row>
    <row r="159" spans="2:27" x14ac:dyDescent="0.75">
      <c r="B159" s="166" t="s">
        <v>275</v>
      </c>
      <c r="C159" s="315"/>
      <c r="D159" s="315"/>
      <c r="E159" s="316">
        <v>15312</v>
      </c>
      <c r="F159" s="291">
        <f>'P&amp;L (QB)'!B171</f>
        <v>10791.2</v>
      </c>
      <c r="G159" s="316">
        <f>1276*12</f>
        <v>15312</v>
      </c>
      <c r="H159" s="317">
        <v>15312</v>
      </c>
      <c r="I159" s="276">
        <f t="shared" ref="I159:I163" si="95">F159/H159</f>
        <v>0.70475444096133755</v>
      </c>
      <c r="J159" s="551"/>
      <c r="K159" s="538">
        <f t="shared" ref="K159:K163" si="96">H159-F159</f>
        <v>4520.7999999999993</v>
      </c>
      <c r="L159" s="318"/>
      <c r="M159" s="278">
        <f t="shared" ref="M159:M163" si="97">G159</f>
        <v>15312</v>
      </c>
      <c r="N159" s="355">
        <f>450*12*2</f>
        <v>10800</v>
      </c>
      <c r="O159" s="355">
        <f>450*12*3</f>
        <v>16200</v>
      </c>
      <c r="P159" s="355">
        <f>450*12*3</f>
        <v>16200</v>
      </c>
      <c r="Q159" s="355">
        <f>450*12*4</f>
        <v>21600</v>
      </c>
      <c r="R159" s="355"/>
      <c r="S159" s="341" t="s">
        <v>608</v>
      </c>
    </row>
    <row r="160" spans="2:27" x14ac:dyDescent="0.75">
      <c r="B160" s="166" t="s">
        <v>171</v>
      </c>
      <c r="C160" s="315"/>
      <c r="D160" s="315">
        <v>4752.29</v>
      </c>
      <c r="E160" s="316">
        <v>2000</v>
      </c>
      <c r="F160" s="291">
        <f>'P&amp;L (QB)'!B172</f>
        <v>4888.3900000000003</v>
      </c>
      <c r="G160" s="316">
        <v>2000</v>
      </c>
      <c r="H160" s="317">
        <v>2000</v>
      </c>
      <c r="I160" s="276">
        <f t="shared" si="95"/>
        <v>2.4441950000000001</v>
      </c>
      <c r="J160" s="551"/>
      <c r="K160" s="538">
        <f t="shared" si="96"/>
        <v>-2888.3900000000003</v>
      </c>
      <c r="L160" s="318"/>
      <c r="M160" s="278">
        <f t="shared" si="97"/>
        <v>2000</v>
      </c>
      <c r="N160" s="273">
        <v>2000</v>
      </c>
      <c r="O160" s="273">
        <v>2000</v>
      </c>
      <c r="P160" s="273">
        <v>2000</v>
      </c>
      <c r="Q160" s="273">
        <v>2000</v>
      </c>
      <c r="R160" s="273"/>
      <c r="S160" s="272"/>
    </row>
    <row r="161" spans="2:28" x14ac:dyDescent="0.75">
      <c r="B161" s="166" t="s">
        <v>200</v>
      </c>
      <c r="C161" s="315"/>
      <c r="D161" s="315">
        <v>6019.87</v>
      </c>
      <c r="E161" s="316">
        <v>2000</v>
      </c>
      <c r="F161" s="291">
        <f>'P&amp;L (QB)'!B173</f>
        <v>3200.12</v>
      </c>
      <c r="G161" s="316">
        <v>2000</v>
      </c>
      <c r="H161" s="317">
        <v>2000</v>
      </c>
      <c r="I161" s="276">
        <f t="shared" si="95"/>
        <v>1.60006</v>
      </c>
      <c r="J161" s="551"/>
      <c r="K161" s="538">
        <f t="shared" si="96"/>
        <v>-1200.1199999999999</v>
      </c>
      <c r="L161" s="318"/>
      <c r="M161" s="278">
        <f t="shared" si="97"/>
        <v>2000</v>
      </c>
      <c r="N161" s="273">
        <v>2000</v>
      </c>
      <c r="O161" s="273">
        <v>2000</v>
      </c>
      <c r="P161" s="273">
        <v>2000</v>
      </c>
      <c r="Q161" s="273">
        <v>2000</v>
      </c>
      <c r="R161" s="273"/>
      <c r="S161" s="272"/>
    </row>
    <row r="162" spans="2:28" x14ac:dyDescent="0.75">
      <c r="B162" s="166" t="s">
        <v>162</v>
      </c>
      <c r="C162" s="315"/>
      <c r="D162" s="315">
        <v>169.99</v>
      </c>
      <c r="E162" s="316">
        <v>2000</v>
      </c>
      <c r="F162" s="291">
        <f>'P&amp;L (QB)'!B174</f>
        <v>1835.64</v>
      </c>
      <c r="G162" s="316">
        <v>2000</v>
      </c>
      <c r="H162" s="317">
        <v>2000</v>
      </c>
      <c r="I162" s="276">
        <f t="shared" si="95"/>
        <v>0.91782000000000008</v>
      </c>
      <c r="J162" s="551"/>
      <c r="K162" s="538">
        <f t="shared" si="96"/>
        <v>164.3599999999999</v>
      </c>
      <c r="L162" s="318"/>
      <c r="M162" s="278">
        <f t="shared" si="97"/>
        <v>2000</v>
      </c>
      <c r="N162" s="273">
        <v>2000</v>
      </c>
      <c r="O162" s="273">
        <v>2000</v>
      </c>
      <c r="P162" s="273">
        <v>2000</v>
      </c>
      <c r="Q162" s="273">
        <v>2000</v>
      </c>
      <c r="R162" s="273"/>
      <c r="S162" s="272"/>
    </row>
    <row r="163" spans="2:28" x14ac:dyDescent="0.75">
      <c r="B163" s="166" t="s">
        <v>201</v>
      </c>
      <c r="C163" s="315"/>
      <c r="D163" s="315">
        <v>2760.37</v>
      </c>
      <c r="E163" s="316">
        <v>2000</v>
      </c>
      <c r="F163" s="291">
        <f>'P&amp;L (QB)'!B175</f>
        <v>3700</v>
      </c>
      <c r="G163" s="316">
        <v>2000</v>
      </c>
      <c r="H163" s="317">
        <v>2000</v>
      </c>
      <c r="I163" s="276">
        <f t="shared" si="95"/>
        <v>1.85</v>
      </c>
      <c r="J163" s="551"/>
      <c r="K163" s="538">
        <f t="shared" si="96"/>
        <v>-1700</v>
      </c>
      <c r="L163" s="318"/>
      <c r="M163" s="278">
        <f t="shared" si="97"/>
        <v>2000</v>
      </c>
      <c r="N163" s="273">
        <v>2000</v>
      </c>
      <c r="O163" s="273">
        <v>2000</v>
      </c>
      <c r="P163" s="273">
        <v>2000</v>
      </c>
      <c r="Q163" s="273">
        <v>2000</v>
      </c>
      <c r="R163" s="273"/>
      <c r="S163" s="272"/>
    </row>
    <row r="164" spans="2:28" x14ac:dyDescent="0.75">
      <c r="B164" s="282" t="s">
        <v>163</v>
      </c>
      <c r="C164" s="283">
        <f t="shared" ref="C164:G164" si="98">(((((C158)+(C159))+(C160))+(C161))+(C162))+(C163)</f>
        <v>0</v>
      </c>
      <c r="D164" s="283">
        <f t="shared" si="98"/>
        <v>13702.52</v>
      </c>
      <c r="E164" s="283">
        <f t="shared" si="98"/>
        <v>23312</v>
      </c>
      <c r="F164" s="284">
        <f>(((((F158)+(F159))+(F160))+(F161))+(F162))+(F163)</f>
        <v>24415.35</v>
      </c>
      <c r="G164" s="284">
        <f t="shared" si="98"/>
        <v>23312</v>
      </c>
      <c r="H164" s="284">
        <f>(((((H158)+(H159))+(H160))+(H161))+(H162))+(H163)</f>
        <v>23312</v>
      </c>
      <c r="I164" s="285">
        <f>F164/H164</f>
        <v>1.0473297014413177</v>
      </c>
      <c r="J164" s="285"/>
      <c r="K164" s="513">
        <f>(((((K158)+(K159))+(K160))+(K161))+(K162))+(K163)</f>
        <v>-1103.350000000001</v>
      </c>
      <c r="L164" s="286"/>
      <c r="M164" s="287">
        <f t="shared" ref="M164:Q164" si="99">(((((M158)+(M159))+(M160))+(M161))+(M162))+(M163)</f>
        <v>23312</v>
      </c>
      <c r="N164" s="171">
        <f t="shared" si="99"/>
        <v>18800</v>
      </c>
      <c r="O164" s="171">
        <f t="shared" si="99"/>
        <v>24200</v>
      </c>
      <c r="P164" s="171">
        <f t="shared" si="99"/>
        <v>24200</v>
      </c>
      <c r="Q164" s="171">
        <f t="shared" si="99"/>
        <v>29600</v>
      </c>
      <c r="R164" s="171"/>
      <c r="S164" s="288"/>
    </row>
    <row r="165" spans="2:28" x14ac:dyDescent="0.75">
      <c r="B165" s="166" t="s">
        <v>278</v>
      </c>
      <c r="C165" s="315"/>
      <c r="D165" s="315"/>
      <c r="E165" s="316"/>
      <c r="F165" s="291"/>
      <c r="G165" s="316"/>
      <c r="H165" s="317"/>
      <c r="I165" s="276"/>
      <c r="J165" s="551"/>
      <c r="K165" s="316"/>
      <c r="L165" s="318"/>
      <c r="M165" s="271"/>
      <c r="N165" s="272"/>
      <c r="O165" s="272"/>
      <c r="P165" s="272"/>
      <c r="Q165" s="272"/>
      <c r="R165" s="272"/>
      <c r="S165" s="272"/>
    </row>
    <row r="166" spans="2:28" x14ac:dyDescent="0.75">
      <c r="B166" s="166" t="s">
        <v>279</v>
      </c>
      <c r="C166" s="343"/>
      <c r="D166" s="343"/>
      <c r="E166" s="316">
        <v>8492</v>
      </c>
      <c r="F166" s="291">
        <f>'P&amp;L (QB)'!B178</f>
        <v>5517.49</v>
      </c>
      <c r="G166" s="316">
        <f>346*12+4340</f>
        <v>8492</v>
      </c>
      <c r="H166" s="317">
        <f>G166</f>
        <v>8492</v>
      </c>
      <c r="I166" s="276">
        <f>F166/H166</f>
        <v>0.64972797927461134</v>
      </c>
      <c r="J166" s="551"/>
      <c r="K166" s="538">
        <f>H166-F166</f>
        <v>2974.51</v>
      </c>
      <c r="L166" s="318"/>
      <c r="M166" s="278">
        <f t="shared" ref="M166:M167" si="100">G166</f>
        <v>8492</v>
      </c>
      <c r="N166" s="273">
        <f t="shared" ref="N166:Q166" si="101">100*12</f>
        <v>1200</v>
      </c>
      <c r="O166" s="273">
        <f t="shared" si="101"/>
        <v>1200</v>
      </c>
      <c r="P166" s="273">
        <f t="shared" si="101"/>
        <v>1200</v>
      </c>
      <c r="Q166" s="273">
        <f t="shared" si="101"/>
        <v>1200</v>
      </c>
      <c r="R166" s="273"/>
      <c r="S166" s="272" t="s">
        <v>609</v>
      </c>
    </row>
    <row r="167" spans="2:28" x14ac:dyDescent="0.75">
      <c r="B167" s="166" t="s">
        <v>467</v>
      </c>
      <c r="C167" s="343"/>
      <c r="D167" s="343"/>
      <c r="E167" s="316">
        <v>0</v>
      </c>
      <c r="F167" s="291">
        <f>'P&amp;L (QB)'!B179</f>
        <v>0</v>
      </c>
      <c r="G167" s="316"/>
      <c r="H167" s="317">
        <f>G167</f>
        <v>0</v>
      </c>
      <c r="I167" s="276"/>
      <c r="J167" s="551"/>
      <c r="K167" s="316"/>
      <c r="L167" s="318"/>
      <c r="M167" s="278">
        <f t="shared" si="100"/>
        <v>0</v>
      </c>
      <c r="N167" s="341"/>
      <c r="O167" s="341"/>
      <c r="P167" s="341"/>
      <c r="Q167" s="341"/>
      <c r="R167" s="341"/>
      <c r="S167" s="341" t="s">
        <v>610</v>
      </c>
    </row>
    <row r="168" spans="2:28" x14ac:dyDescent="0.75">
      <c r="B168" s="282" t="s">
        <v>277</v>
      </c>
      <c r="C168" s="283">
        <f t="shared" ref="C168:G168" si="102">((C165)+(C166))+(C167)</f>
        <v>0</v>
      </c>
      <c r="D168" s="283">
        <f t="shared" si="102"/>
        <v>0</v>
      </c>
      <c r="E168" s="283">
        <f t="shared" si="102"/>
        <v>8492</v>
      </c>
      <c r="F168" s="284">
        <f>((F165)+(F166))+(F167)</f>
        <v>5517.49</v>
      </c>
      <c r="G168" s="284">
        <f t="shared" si="102"/>
        <v>8492</v>
      </c>
      <c r="H168" s="284">
        <f>((H165)+(H166))+(H167)</f>
        <v>8492</v>
      </c>
      <c r="I168" s="285">
        <f>F168/H168</f>
        <v>0.64972797927461134</v>
      </c>
      <c r="J168" s="285"/>
      <c r="K168" s="513">
        <f>((K165)+(K166))+(K167)</f>
        <v>2974.51</v>
      </c>
      <c r="L168" s="286"/>
      <c r="M168" s="287">
        <f t="shared" ref="M168:Q168" si="103">((M165)+(M166))+(M167)</f>
        <v>8492</v>
      </c>
      <c r="N168" s="171">
        <f t="shared" si="103"/>
        <v>1200</v>
      </c>
      <c r="O168" s="171">
        <f t="shared" si="103"/>
        <v>1200</v>
      </c>
      <c r="P168" s="171">
        <f t="shared" si="103"/>
        <v>1200</v>
      </c>
      <c r="Q168" s="171">
        <f t="shared" si="103"/>
        <v>1200</v>
      </c>
      <c r="R168" s="171"/>
      <c r="S168" s="288"/>
    </row>
    <row r="169" spans="2:28" x14ac:dyDescent="0.75">
      <c r="B169" s="166" t="s">
        <v>77</v>
      </c>
      <c r="C169" s="315"/>
      <c r="D169" s="315"/>
      <c r="E169" s="316"/>
      <c r="F169" s="291"/>
      <c r="G169" s="316"/>
      <c r="H169" s="317"/>
      <c r="I169" s="276"/>
      <c r="J169" s="551"/>
      <c r="K169" s="316"/>
      <c r="L169" s="318"/>
      <c r="M169" s="271"/>
      <c r="N169" s="272"/>
      <c r="O169" s="272"/>
      <c r="P169" s="272"/>
      <c r="Q169" s="272"/>
      <c r="R169" s="272"/>
      <c r="S169" s="272"/>
    </row>
    <row r="170" spans="2:28" x14ac:dyDescent="0.75">
      <c r="B170" s="338" t="s">
        <v>280</v>
      </c>
      <c r="C170" s="354"/>
      <c r="D170" s="354"/>
      <c r="E170" s="316">
        <v>30600</v>
      </c>
      <c r="F170" s="291">
        <f>'P&amp;L (QB)'!B182</f>
        <v>18903.099999999999</v>
      </c>
      <c r="G170" s="316">
        <f>2550*12</f>
        <v>30600</v>
      </c>
      <c r="H170" s="317">
        <f t="shared" ref="H170:H174" si="104">G170</f>
        <v>30600</v>
      </c>
      <c r="I170" s="276">
        <f t="shared" ref="I170:I174" si="105">F170/H170</f>
        <v>0.61774836601307181</v>
      </c>
      <c r="J170" s="551"/>
      <c r="K170" s="538">
        <f t="shared" ref="K170:K174" si="106">H170-F170</f>
        <v>11696.900000000001</v>
      </c>
      <c r="L170" s="318"/>
      <c r="M170" s="278">
        <f t="shared" ref="M170:M174" si="107">G170</f>
        <v>30600</v>
      </c>
      <c r="N170" s="355">
        <f t="shared" ref="N170:Q170" si="108">1700*12</f>
        <v>20400</v>
      </c>
      <c r="O170" s="355">
        <f t="shared" si="108"/>
        <v>20400</v>
      </c>
      <c r="P170" s="355">
        <f t="shared" si="108"/>
        <v>20400</v>
      </c>
      <c r="Q170" s="355">
        <f t="shared" si="108"/>
        <v>20400</v>
      </c>
      <c r="R170" s="355"/>
      <c r="S170" s="341" t="s">
        <v>611</v>
      </c>
    </row>
    <row r="171" spans="2:28" x14ac:dyDescent="0.75">
      <c r="B171" s="357" t="s">
        <v>172</v>
      </c>
      <c r="C171" s="358"/>
      <c r="D171" s="358">
        <f>177+3600</f>
        <v>3777</v>
      </c>
      <c r="E171" s="359">
        <v>45200</v>
      </c>
      <c r="F171" s="291">
        <f>'P&amp;L (QB)'!B183</f>
        <v>24949.19</v>
      </c>
      <c r="G171" s="359">
        <f>13700+24000</f>
        <v>37700</v>
      </c>
      <c r="H171" s="360">
        <f t="shared" si="104"/>
        <v>37700</v>
      </c>
      <c r="I171" s="361">
        <f t="shared" si="105"/>
        <v>0.66178222811671084</v>
      </c>
      <c r="J171" s="555"/>
      <c r="K171" s="540">
        <f t="shared" si="106"/>
        <v>12750.810000000001</v>
      </c>
      <c r="L171" s="362"/>
      <c r="M171" s="278">
        <f t="shared" si="107"/>
        <v>37700</v>
      </c>
      <c r="N171" s="355">
        <f t="shared" ref="N171:Q171" si="109">11200+30000</f>
        <v>41200</v>
      </c>
      <c r="O171" s="355">
        <f t="shared" si="109"/>
        <v>41200</v>
      </c>
      <c r="P171" s="355">
        <f t="shared" si="109"/>
        <v>41200</v>
      </c>
      <c r="Q171" s="355">
        <f t="shared" si="109"/>
        <v>41200</v>
      </c>
      <c r="R171" s="355"/>
      <c r="S171" s="356" t="s">
        <v>612</v>
      </c>
    </row>
    <row r="172" spans="2:28" x14ac:dyDescent="0.75">
      <c r="B172" s="166" t="s">
        <v>78</v>
      </c>
      <c r="C172" s="363">
        <v>3000</v>
      </c>
      <c r="D172" s="363">
        <f>642.32+3224.97</f>
        <v>3867.29</v>
      </c>
      <c r="E172" s="321">
        <v>2000</v>
      </c>
      <c r="F172" s="291">
        <f>'P&amp;L (QB)'!B184</f>
        <v>787.92</v>
      </c>
      <c r="G172" s="321">
        <v>2000</v>
      </c>
      <c r="H172" s="322">
        <f t="shared" si="104"/>
        <v>2000</v>
      </c>
      <c r="I172" s="298">
        <f t="shared" si="105"/>
        <v>0.39395999999999998</v>
      </c>
      <c r="J172" s="552"/>
      <c r="K172" s="537">
        <f t="shared" si="106"/>
        <v>1212.08</v>
      </c>
      <c r="L172" s="323"/>
      <c r="M172" s="278">
        <f t="shared" si="107"/>
        <v>2000</v>
      </c>
      <c r="N172" s="168">
        <v>2000</v>
      </c>
      <c r="O172" s="168">
        <v>2000</v>
      </c>
      <c r="P172" s="168">
        <v>2000</v>
      </c>
      <c r="Q172" s="168">
        <v>2000</v>
      </c>
      <c r="R172" s="168"/>
      <c r="S172" s="272"/>
    </row>
    <row r="173" spans="2:28" x14ac:dyDescent="0.75">
      <c r="B173" s="166" t="s">
        <v>196</v>
      </c>
      <c r="C173" s="343">
        <v>7000</v>
      </c>
      <c r="D173" s="343"/>
      <c r="E173" s="316">
        <v>2000</v>
      </c>
      <c r="F173" s="291">
        <f>'P&amp;L (QB)'!B185</f>
        <v>4025.57</v>
      </c>
      <c r="G173" s="316">
        <f>2000+7500</f>
        <v>9500</v>
      </c>
      <c r="H173" s="317">
        <f t="shared" si="104"/>
        <v>9500</v>
      </c>
      <c r="I173" s="276">
        <f t="shared" si="105"/>
        <v>0.42374421052631583</v>
      </c>
      <c r="J173" s="551"/>
      <c r="K173" s="538">
        <f t="shared" si="106"/>
        <v>5474.43</v>
      </c>
      <c r="L173" s="318"/>
      <c r="M173" s="278">
        <f t="shared" si="107"/>
        <v>9500</v>
      </c>
      <c r="N173" s="273">
        <v>2000</v>
      </c>
      <c r="O173" s="273">
        <v>2000</v>
      </c>
      <c r="P173" s="273">
        <v>2000</v>
      </c>
      <c r="Q173" s="273">
        <v>2000</v>
      </c>
      <c r="R173" s="273"/>
      <c r="S173" s="272" t="s">
        <v>613</v>
      </c>
    </row>
    <row r="174" spans="2:28" x14ac:dyDescent="0.75">
      <c r="B174" s="166" t="s">
        <v>111</v>
      </c>
      <c r="C174" s="363"/>
      <c r="D174" s="363">
        <v>8708.26</v>
      </c>
      <c r="E174" s="321">
        <v>3000</v>
      </c>
      <c r="F174" s="291">
        <f>'P&amp;L (QB)'!B186</f>
        <v>1500</v>
      </c>
      <c r="G174" s="321">
        <f>250*12</f>
        <v>3000</v>
      </c>
      <c r="H174" s="322">
        <f t="shared" si="104"/>
        <v>3000</v>
      </c>
      <c r="I174" s="298">
        <f t="shared" si="105"/>
        <v>0.5</v>
      </c>
      <c r="J174" s="552"/>
      <c r="K174" s="537">
        <f t="shared" si="106"/>
        <v>1500</v>
      </c>
      <c r="L174" s="323"/>
      <c r="M174" s="278">
        <f t="shared" si="107"/>
        <v>3000</v>
      </c>
      <c r="N174" s="168">
        <v>2000</v>
      </c>
      <c r="O174" s="168">
        <v>2000</v>
      </c>
      <c r="P174" s="168">
        <v>2000</v>
      </c>
      <c r="Q174" s="168">
        <v>2000</v>
      </c>
      <c r="R174" s="168"/>
      <c r="S174" s="272" t="s">
        <v>614</v>
      </c>
      <c r="AA174" s="724">
        <v>1000</v>
      </c>
      <c r="AB174" s="149" t="s">
        <v>928</v>
      </c>
    </row>
    <row r="175" spans="2:28" x14ac:dyDescent="0.75">
      <c r="B175" s="282" t="s">
        <v>79</v>
      </c>
      <c r="C175" s="283">
        <f t="shared" ref="C175:G175" si="110">(((((C169)+(C170))+(C171))+(C172))+(C173))+(C174)</f>
        <v>10000</v>
      </c>
      <c r="D175" s="283">
        <f t="shared" si="110"/>
        <v>16352.55</v>
      </c>
      <c r="E175" s="283">
        <f t="shared" si="110"/>
        <v>82800</v>
      </c>
      <c r="F175" s="284">
        <f>(((((F169)+(F170))+(F171))+(F172))+(F173))+(F174)</f>
        <v>50165.779999999992</v>
      </c>
      <c r="G175" s="284">
        <f t="shared" si="110"/>
        <v>82800</v>
      </c>
      <c r="H175" s="284">
        <f>(((((H169)+(H170))+(H171))+(H172))+(H173))+(H174)</f>
        <v>82800</v>
      </c>
      <c r="I175" s="285">
        <f>F175/H175</f>
        <v>0.60586690821256028</v>
      </c>
      <c r="J175" s="285"/>
      <c r="K175" s="513">
        <f>(((((K169)+(K170))+(K171))+(K172))+(K173))+(K174)</f>
        <v>32634.22</v>
      </c>
      <c r="L175" s="286"/>
      <c r="M175" s="287">
        <f t="shared" ref="M175:Q175" si="111">(((((M169)+(M170))+(M171))+(M172))+(M173))+(M174)</f>
        <v>82800</v>
      </c>
      <c r="N175" s="171">
        <f t="shared" si="111"/>
        <v>67600</v>
      </c>
      <c r="O175" s="171">
        <f t="shared" si="111"/>
        <v>67600</v>
      </c>
      <c r="P175" s="171">
        <f t="shared" si="111"/>
        <v>67600</v>
      </c>
      <c r="Q175" s="171">
        <f t="shared" si="111"/>
        <v>67600</v>
      </c>
      <c r="R175" s="171"/>
      <c r="S175" s="288"/>
    </row>
    <row r="176" spans="2:28" x14ac:dyDescent="0.75">
      <c r="B176" s="166" t="s">
        <v>471</v>
      </c>
      <c r="C176" s="315"/>
      <c r="D176" s="315"/>
      <c r="E176" s="316"/>
      <c r="F176" s="291"/>
      <c r="G176" s="316"/>
      <c r="H176" s="317"/>
      <c r="I176" s="276"/>
      <c r="J176" s="551"/>
      <c r="K176" s="316"/>
      <c r="L176" s="318"/>
      <c r="M176" s="271"/>
      <c r="N176" s="272"/>
      <c r="O176" s="272"/>
      <c r="P176" s="272"/>
      <c r="Q176" s="272"/>
      <c r="R176" s="272"/>
      <c r="S176" s="272"/>
    </row>
    <row r="177" spans="2:28" x14ac:dyDescent="0.75">
      <c r="B177" s="166" t="s">
        <v>472</v>
      </c>
      <c r="C177" s="315"/>
      <c r="D177" s="315"/>
      <c r="E177" s="316">
        <v>34000</v>
      </c>
      <c r="F177" s="291">
        <f>'P&amp;L (QB)'!B192</f>
        <v>29602.82</v>
      </c>
      <c r="G177" s="316">
        <v>40000</v>
      </c>
      <c r="H177" s="317">
        <v>34000</v>
      </c>
      <c r="I177" s="276">
        <f>F177/H177</f>
        <v>0.87067117647058823</v>
      </c>
      <c r="J177" s="551"/>
      <c r="K177" s="538">
        <f>H177-F177</f>
        <v>4397.18</v>
      </c>
      <c r="L177" s="318"/>
      <c r="M177" s="278">
        <f>G177</f>
        <v>40000</v>
      </c>
      <c r="N177" s="355">
        <v>9000</v>
      </c>
      <c r="O177" s="355">
        <v>12000</v>
      </c>
      <c r="P177" s="355">
        <v>15000</v>
      </c>
      <c r="Q177" s="355">
        <v>18000</v>
      </c>
      <c r="R177" s="355"/>
      <c r="S177" s="356" t="s">
        <v>615</v>
      </c>
    </row>
    <row r="178" spans="2:28" x14ac:dyDescent="0.75">
      <c r="B178" s="282" t="s">
        <v>473</v>
      </c>
      <c r="C178" s="283">
        <f t="shared" ref="C178:G178" si="112">(C176)+(C177)</f>
        <v>0</v>
      </c>
      <c r="D178" s="283">
        <f t="shared" si="112"/>
        <v>0</v>
      </c>
      <c r="E178" s="283">
        <f t="shared" si="112"/>
        <v>34000</v>
      </c>
      <c r="F178" s="284">
        <f>(F176)+(F177)</f>
        <v>29602.82</v>
      </c>
      <c r="G178" s="284">
        <f t="shared" si="112"/>
        <v>40000</v>
      </c>
      <c r="H178" s="284">
        <f>(H176)+(H177)</f>
        <v>34000</v>
      </c>
      <c r="I178" s="285">
        <f>F178/H178</f>
        <v>0.87067117647058823</v>
      </c>
      <c r="J178" s="285"/>
      <c r="K178" s="513">
        <f>(K176)+(K177)</f>
        <v>4397.18</v>
      </c>
      <c r="L178" s="286"/>
      <c r="M178" s="287">
        <f t="shared" ref="M178:Q178" si="113">(M176)+(M177)</f>
        <v>40000</v>
      </c>
      <c r="N178" s="171">
        <f t="shared" si="113"/>
        <v>9000</v>
      </c>
      <c r="O178" s="171">
        <f t="shared" si="113"/>
        <v>12000</v>
      </c>
      <c r="P178" s="171">
        <f t="shared" si="113"/>
        <v>15000</v>
      </c>
      <c r="Q178" s="171">
        <f t="shared" si="113"/>
        <v>18000</v>
      </c>
      <c r="R178" s="171"/>
      <c r="S178" s="288"/>
    </row>
    <row r="179" spans="2:28" x14ac:dyDescent="0.75">
      <c r="B179" s="166" t="s">
        <v>474</v>
      </c>
      <c r="C179" s="315"/>
      <c r="D179" s="315"/>
      <c r="E179" s="316"/>
      <c r="F179" s="291"/>
      <c r="G179" s="316"/>
      <c r="H179" s="317"/>
      <c r="I179" s="276"/>
      <c r="J179" s="551"/>
      <c r="K179" s="316"/>
      <c r="L179" s="318"/>
      <c r="M179" s="271"/>
      <c r="N179" s="272"/>
      <c r="O179" s="272"/>
      <c r="P179" s="272"/>
      <c r="Q179" s="272"/>
      <c r="R179" s="272"/>
      <c r="S179" s="272"/>
    </row>
    <row r="180" spans="2:28" x14ac:dyDescent="0.75">
      <c r="B180" s="166" t="s">
        <v>475</v>
      </c>
      <c r="C180" s="315"/>
      <c r="D180" s="315"/>
      <c r="E180" s="316">
        <v>5000</v>
      </c>
      <c r="F180" s="291">
        <f>'P&amp;L (QB)'!B195</f>
        <v>0</v>
      </c>
      <c r="G180" s="316">
        <v>5000</v>
      </c>
      <c r="H180" s="317">
        <f t="shared" ref="H180:H181" si="114">G180</f>
        <v>5000</v>
      </c>
      <c r="I180" s="276">
        <f>F180/H180</f>
        <v>0</v>
      </c>
      <c r="J180" s="551"/>
      <c r="K180" s="538">
        <f>H180-F180</f>
        <v>5000</v>
      </c>
      <c r="L180" s="318"/>
      <c r="M180" s="278">
        <f>G180</f>
        <v>5000</v>
      </c>
      <c r="N180" s="341"/>
      <c r="O180" s="341"/>
      <c r="P180" s="341"/>
      <c r="Q180" s="341"/>
      <c r="R180" s="341"/>
      <c r="S180" s="356" t="s">
        <v>616</v>
      </c>
      <c r="AA180" s="724">
        <v>5000</v>
      </c>
    </row>
    <row r="181" spans="2:28" x14ac:dyDescent="0.75">
      <c r="B181" s="166" t="s">
        <v>476</v>
      </c>
      <c r="C181" s="315"/>
      <c r="D181" s="315"/>
      <c r="E181" s="316"/>
      <c r="F181" s="291">
        <f>'P&amp;L (QB)'!B196</f>
        <v>0</v>
      </c>
      <c r="G181" s="316"/>
      <c r="H181" s="317">
        <f t="shared" si="114"/>
        <v>0</v>
      </c>
      <c r="I181" s="276"/>
      <c r="J181" s="551"/>
      <c r="K181" s="316"/>
      <c r="L181" s="318"/>
      <c r="M181" s="271"/>
      <c r="N181" s="272"/>
      <c r="O181" s="272"/>
      <c r="P181" s="272"/>
      <c r="Q181" s="272"/>
      <c r="R181" s="272"/>
      <c r="S181" s="272"/>
    </row>
    <row r="182" spans="2:28" x14ac:dyDescent="0.75">
      <c r="B182" s="282" t="s">
        <v>478</v>
      </c>
      <c r="C182" s="283">
        <f t="shared" ref="C182:G182" si="115">((C179)+(C180))+(C181)</f>
        <v>0</v>
      </c>
      <c r="D182" s="283">
        <f t="shared" si="115"/>
        <v>0</v>
      </c>
      <c r="E182" s="283">
        <f t="shared" si="115"/>
        <v>5000</v>
      </c>
      <c r="F182" s="284">
        <f>((F179)+(F180))+(F181)</f>
        <v>0</v>
      </c>
      <c r="G182" s="284">
        <f t="shared" si="115"/>
        <v>5000</v>
      </c>
      <c r="H182" s="284">
        <f>((H179)+(H180))+(H181)</f>
        <v>5000</v>
      </c>
      <c r="I182" s="285">
        <f>F182/H182</f>
        <v>0</v>
      </c>
      <c r="J182" s="285"/>
      <c r="K182" s="513">
        <f>((K179)+(K180))+(K181)</f>
        <v>5000</v>
      </c>
      <c r="L182" s="286"/>
      <c r="M182" s="287">
        <f t="shared" ref="M182:Q182" si="116">((M179)+(M180))+(M181)</f>
        <v>5000</v>
      </c>
      <c r="N182" s="171">
        <f t="shared" si="116"/>
        <v>0</v>
      </c>
      <c r="O182" s="171">
        <f t="shared" si="116"/>
        <v>0</v>
      </c>
      <c r="P182" s="171">
        <f t="shared" si="116"/>
        <v>0</v>
      </c>
      <c r="Q182" s="171">
        <f t="shared" si="116"/>
        <v>0</v>
      </c>
      <c r="R182" s="171"/>
      <c r="S182" s="288"/>
    </row>
    <row r="183" spans="2:28" x14ac:dyDescent="0.75">
      <c r="B183" s="166" t="s">
        <v>203</v>
      </c>
      <c r="C183" s="315"/>
      <c r="D183" s="315"/>
      <c r="E183" s="316"/>
      <c r="F183" s="291"/>
      <c r="G183" s="316"/>
      <c r="H183" s="317"/>
      <c r="I183" s="276"/>
      <c r="J183" s="551"/>
      <c r="K183" s="316"/>
      <c r="L183" s="318"/>
      <c r="M183" s="271"/>
      <c r="N183" s="272"/>
      <c r="O183" s="272"/>
      <c r="P183" s="272"/>
      <c r="Q183" s="272"/>
      <c r="R183" s="272"/>
      <c r="S183" s="272"/>
    </row>
    <row r="184" spans="2:28" x14ac:dyDescent="0.75">
      <c r="B184" s="166" t="s">
        <v>479</v>
      </c>
      <c r="C184" s="315"/>
      <c r="D184" s="315">
        <v>4270.01</v>
      </c>
      <c r="E184" s="316">
        <v>2500</v>
      </c>
      <c r="F184" s="291">
        <f>'P&amp;L (QB)'!B200</f>
        <v>2312.9</v>
      </c>
      <c r="G184" s="316">
        <f>2500+500</f>
        <v>3000</v>
      </c>
      <c r="H184" s="317">
        <f>G184</f>
        <v>3000</v>
      </c>
      <c r="I184" s="276">
        <f>F184/H184</f>
        <v>0.77096666666666669</v>
      </c>
      <c r="J184" s="551"/>
      <c r="K184" s="538">
        <f>H184-F184</f>
        <v>687.09999999999991</v>
      </c>
      <c r="L184" s="318"/>
      <c r="M184" s="278">
        <v>2500</v>
      </c>
      <c r="N184" s="355">
        <v>4960</v>
      </c>
      <c r="O184" s="355">
        <v>5920</v>
      </c>
      <c r="P184" s="355">
        <v>6880</v>
      </c>
      <c r="Q184" s="355">
        <v>7840</v>
      </c>
      <c r="R184" s="355"/>
      <c r="S184" s="341" t="s">
        <v>617</v>
      </c>
    </row>
    <row r="185" spans="2:28" x14ac:dyDescent="0.75">
      <c r="B185" s="338" t="s">
        <v>618</v>
      </c>
      <c r="C185" s="354"/>
      <c r="D185" s="354"/>
      <c r="E185" s="316"/>
      <c r="F185" s="291">
        <v>0</v>
      </c>
      <c r="G185" s="316"/>
      <c r="H185" s="317"/>
      <c r="I185" s="276"/>
      <c r="J185" s="551"/>
      <c r="K185" s="316"/>
      <c r="L185" s="318"/>
      <c r="M185" s="278"/>
      <c r="N185" s="355"/>
      <c r="O185" s="355"/>
      <c r="P185" s="355"/>
      <c r="Q185" s="355"/>
      <c r="R185" s="355"/>
      <c r="S185" s="341"/>
    </row>
    <row r="186" spans="2:28" x14ac:dyDescent="0.75">
      <c r="B186" s="282" t="s">
        <v>204</v>
      </c>
      <c r="C186" s="283">
        <f t="shared" ref="C186:G186" si="117">(C183)+(C184)+C185</f>
        <v>0</v>
      </c>
      <c r="D186" s="283">
        <f t="shared" si="117"/>
        <v>4270.01</v>
      </c>
      <c r="E186" s="283">
        <f t="shared" si="117"/>
        <v>2500</v>
      </c>
      <c r="F186" s="284">
        <f>(F183)+(F184)+F185</f>
        <v>2312.9</v>
      </c>
      <c r="G186" s="284">
        <f t="shared" si="117"/>
        <v>3000</v>
      </c>
      <c r="H186" s="284">
        <f>(H183)+(H184)+H185</f>
        <v>3000</v>
      </c>
      <c r="I186" s="285">
        <f>F186/H186</f>
        <v>0.77096666666666669</v>
      </c>
      <c r="J186" s="285"/>
      <c r="K186" s="513">
        <f>(K183)+(K184)+K185</f>
        <v>687.09999999999991</v>
      </c>
      <c r="L186" s="286"/>
      <c r="M186" s="287">
        <f t="shared" ref="M186:Q186" si="118">(M183)+(M184)</f>
        <v>2500</v>
      </c>
      <c r="N186" s="171">
        <f t="shared" si="118"/>
        <v>4960</v>
      </c>
      <c r="O186" s="171">
        <f t="shared" si="118"/>
        <v>5920</v>
      </c>
      <c r="P186" s="171">
        <f t="shared" si="118"/>
        <v>6880</v>
      </c>
      <c r="Q186" s="171">
        <f t="shared" si="118"/>
        <v>7840</v>
      </c>
      <c r="R186" s="171"/>
      <c r="S186" s="288"/>
    </row>
    <row r="187" spans="2:28" x14ac:dyDescent="0.75">
      <c r="B187" s="166" t="s">
        <v>80</v>
      </c>
      <c r="C187" s="315"/>
      <c r="D187" s="315"/>
      <c r="E187" s="316"/>
      <c r="F187" s="291"/>
      <c r="G187" s="316"/>
      <c r="H187" s="317"/>
      <c r="I187" s="276"/>
      <c r="J187" s="551"/>
      <c r="K187" s="316"/>
      <c r="L187" s="318"/>
      <c r="M187" s="271"/>
      <c r="N187" s="272"/>
      <c r="O187" s="272"/>
      <c r="P187" s="272"/>
      <c r="Q187" s="272"/>
      <c r="R187" s="272"/>
      <c r="S187" s="272"/>
    </row>
    <row r="188" spans="2:28" x14ac:dyDescent="0.75">
      <c r="B188" s="166" t="s">
        <v>81</v>
      </c>
      <c r="C188" s="315">
        <v>1532</v>
      </c>
      <c r="D188" s="315">
        <v>1408.14</v>
      </c>
      <c r="E188" s="316">
        <v>20000</v>
      </c>
      <c r="F188" s="291">
        <f>'P&amp;L (QB)'!B204</f>
        <v>13397.57</v>
      </c>
      <c r="G188" s="316">
        <v>20000</v>
      </c>
      <c r="H188" s="317">
        <f>26640</f>
        <v>26640</v>
      </c>
      <c r="I188" s="276">
        <f>F188/H188</f>
        <v>0.50291178678678683</v>
      </c>
      <c r="J188" s="551"/>
      <c r="K188" s="538">
        <f>H188-F188</f>
        <v>13242.43</v>
      </c>
      <c r="L188" s="318"/>
      <c r="M188" s="278">
        <v>30000</v>
      </c>
      <c r="N188" s="273">
        <f>G188*1.03</f>
        <v>20600</v>
      </c>
      <c r="O188" s="273">
        <f t="shared" ref="O188:Q189" si="119">N188*1.03</f>
        <v>21218</v>
      </c>
      <c r="P188" s="273">
        <f t="shared" si="119"/>
        <v>21854.54</v>
      </c>
      <c r="Q188" s="273">
        <f t="shared" si="119"/>
        <v>22510.176200000002</v>
      </c>
      <c r="R188" s="273"/>
      <c r="S188" s="272"/>
      <c r="AA188" s="724">
        <v>8000</v>
      </c>
      <c r="AB188" s="149" t="s">
        <v>927</v>
      </c>
    </row>
    <row r="189" spans="2:28" x14ac:dyDescent="0.75">
      <c r="B189" s="166" t="s">
        <v>158</v>
      </c>
      <c r="C189" s="315"/>
      <c r="D189" s="315">
        <v>1391.58</v>
      </c>
      <c r="E189" s="316">
        <v>1100</v>
      </c>
      <c r="F189" s="291">
        <f>'P&amp;L (QB)'!B205</f>
        <v>221.92</v>
      </c>
      <c r="G189" s="316">
        <f>(200*0.5)+1000</f>
        <v>1100</v>
      </c>
      <c r="H189" s="317">
        <f>G189</f>
        <v>1100</v>
      </c>
      <c r="I189" s="276">
        <f t="shared" ref="I189" si="120">F189/H189</f>
        <v>0.20174545454545453</v>
      </c>
      <c r="J189" s="551"/>
      <c r="K189" s="538">
        <f>H189-F189</f>
        <v>878.08</v>
      </c>
      <c r="L189" s="318"/>
      <c r="M189" s="278">
        <f t="shared" ref="M189" si="121">G189</f>
        <v>1100</v>
      </c>
      <c r="N189" s="273">
        <f>G189*1.03</f>
        <v>1133</v>
      </c>
      <c r="O189" s="273">
        <f t="shared" si="119"/>
        <v>1166.99</v>
      </c>
      <c r="P189" s="273">
        <f t="shared" si="119"/>
        <v>1201.9997000000001</v>
      </c>
      <c r="Q189" s="273">
        <f t="shared" si="119"/>
        <v>1238.0596910000002</v>
      </c>
      <c r="R189" s="273"/>
      <c r="S189" s="272" t="s">
        <v>619</v>
      </c>
    </row>
    <row r="190" spans="2:28" x14ac:dyDescent="0.75">
      <c r="B190" s="282" t="s">
        <v>82</v>
      </c>
      <c r="C190" s="283">
        <f t="shared" ref="C190:G190" si="122">((C187)+(C188))+(C189)</f>
        <v>1532</v>
      </c>
      <c r="D190" s="283">
        <f t="shared" si="122"/>
        <v>2799.7200000000003</v>
      </c>
      <c r="E190" s="283">
        <f t="shared" si="122"/>
        <v>21100</v>
      </c>
      <c r="F190" s="284">
        <f>((F187)+(F188))+(F189)</f>
        <v>13619.49</v>
      </c>
      <c r="G190" s="284">
        <f t="shared" si="122"/>
        <v>21100</v>
      </c>
      <c r="H190" s="284">
        <f>((H187)+(H188))+(H189)</f>
        <v>27740</v>
      </c>
      <c r="I190" s="285">
        <f>F190/H190</f>
        <v>0.49096935832732513</v>
      </c>
      <c r="J190" s="285"/>
      <c r="K190" s="513">
        <f>((K187)+(K188))+(K189)</f>
        <v>14120.51</v>
      </c>
      <c r="L190" s="286"/>
      <c r="M190" s="287">
        <f t="shared" ref="M190:Q190" si="123">((M187)+(M188))+(M189)</f>
        <v>31100</v>
      </c>
      <c r="N190" s="171">
        <f t="shared" si="123"/>
        <v>21733</v>
      </c>
      <c r="O190" s="171">
        <f t="shared" si="123"/>
        <v>22384.99</v>
      </c>
      <c r="P190" s="171">
        <f t="shared" si="123"/>
        <v>23056.539700000001</v>
      </c>
      <c r="Q190" s="171">
        <f t="shared" si="123"/>
        <v>23748.235891</v>
      </c>
      <c r="R190" s="171"/>
      <c r="S190" s="288"/>
    </row>
    <row r="191" spans="2:28" x14ac:dyDescent="0.75">
      <c r="B191" s="166" t="s">
        <v>83</v>
      </c>
      <c r="C191" s="315"/>
      <c r="D191" s="315"/>
      <c r="E191" s="316"/>
      <c r="F191" s="291"/>
      <c r="G191" s="316"/>
      <c r="H191" s="317"/>
      <c r="I191" s="276"/>
      <c r="J191" s="551"/>
      <c r="K191" s="316"/>
      <c r="L191" s="318"/>
      <c r="M191" s="271"/>
      <c r="N191" s="272"/>
      <c r="O191" s="272"/>
      <c r="P191" s="272"/>
      <c r="Q191" s="272"/>
      <c r="R191" s="272"/>
      <c r="S191" s="272"/>
    </row>
    <row r="192" spans="2:28" x14ac:dyDescent="0.75">
      <c r="B192" s="166" t="s">
        <v>281</v>
      </c>
      <c r="C192" s="343"/>
      <c r="D192" s="343">
        <v>3506.25</v>
      </c>
      <c r="E192" s="316">
        <v>6000</v>
      </c>
      <c r="F192" s="291">
        <f>'P&amp;L (QB)'!B208</f>
        <v>3157.9</v>
      </c>
      <c r="G192" s="316">
        <f>9000+8000</f>
        <v>17000</v>
      </c>
      <c r="H192" s="317">
        <v>6000</v>
      </c>
      <c r="I192" s="276">
        <f t="shared" ref="I192:I194" si="124">F192/H192</f>
        <v>0.52631666666666665</v>
      </c>
      <c r="J192" s="551"/>
      <c r="K192" s="538">
        <f t="shared" ref="K192:K194" si="125">H192-F192</f>
        <v>2842.1</v>
      </c>
      <c r="L192" s="318"/>
      <c r="M192" s="278">
        <f t="shared" ref="M192:M194" si="126">G192</f>
        <v>17000</v>
      </c>
      <c r="N192" s="272"/>
      <c r="O192" s="272"/>
      <c r="P192" s="272"/>
      <c r="Q192" s="272"/>
      <c r="R192" s="272"/>
      <c r="S192" s="272" t="s">
        <v>620</v>
      </c>
    </row>
    <row r="193" spans="2:28" x14ac:dyDescent="0.75">
      <c r="B193" s="166" t="s">
        <v>84</v>
      </c>
      <c r="C193" s="363">
        <v>10500</v>
      </c>
      <c r="D193" s="363">
        <v>7225</v>
      </c>
      <c r="E193" s="321">
        <v>5000</v>
      </c>
      <c r="F193" s="291">
        <f>'P&amp;L (QB)'!B209</f>
        <v>1318.38</v>
      </c>
      <c r="G193" s="321">
        <f>5000+5000</f>
        <v>10000</v>
      </c>
      <c r="H193" s="322">
        <v>20000</v>
      </c>
      <c r="I193" s="298">
        <f t="shared" si="124"/>
        <v>6.5919000000000005E-2</v>
      </c>
      <c r="J193" s="552"/>
      <c r="K193" s="537">
        <f t="shared" si="125"/>
        <v>18681.62</v>
      </c>
      <c r="L193" s="323"/>
      <c r="M193" s="278">
        <f t="shared" si="126"/>
        <v>10000</v>
      </c>
      <c r="N193" s="168">
        <v>5000</v>
      </c>
      <c r="O193" s="168">
        <v>5000</v>
      </c>
      <c r="P193" s="168">
        <v>5000</v>
      </c>
      <c r="Q193" s="168">
        <v>5000</v>
      </c>
      <c r="R193" s="168"/>
      <c r="S193" s="272" t="s">
        <v>621</v>
      </c>
      <c r="AA193" s="28"/>
    </row>
    <row r="194" spans="2:28" x14ac:dyDescent="0.75">
      <c r="B194" s="166" t="s">
        <v>282</v>
      </c>
      <c r="C194" s="343"/>
      <c r="D194" s="343">
        <v>877</v>
      </c>
      <c r="E194" s="316">
        <v>20000</v>
      </c>
      <c r="F194" s="291">
        <f>'P&amp;L (QB)'!B210</f>
        <v>5991.87</v>
      </c>
      <c r="G194" s="316">
        <v>5000</v>
      </c>
      <c r="H194" s="317">
        <v>10000</v>
      </c>
      <c r="I194" s="276">
        <f t="shared" si="124"/>
        <v>0.59918700000000003</v>
      </c>
      <c r="J194" s="551"/>
      <c r="K194" s="538">
        <f t="shared" si="125"/>
        <v>4008.13</v>
      </c>
      <c r="L194" s="318"/>
      <c r="M194" s="278">
        <f t="shared" si="126"/>
        <v>5000</v>
      </c>
      <c r="N194" s="273">
        <v>30000</v>
      </c>
      <c r="O194" s="273">
        <v>30000</v>
      </c>
      <c r="P194" s="273">
        <v>30000</v>
      </c>
      <c r="Q194" s="273">
        <v>30000</v>
      </c>
      <c r="R194" s="273"/>
      <c r="S194" s="272" t="s">
        <v>622</v>
      </c>
    </row>
    <row r="195" spans="2:28" x14ac:dyDescent="0.75">
      <c r="B195" s="282" t="s">
        <v>85</v>
      </c>
      <c r="C195" s="283">
        <f t="shared" ref="C195:G195" si="127">(((C191)+(C192))+(C193))+(C194)</f>
        <v>10500</v>
      </c>
      <c r="D195" s="283">
        <f t="shared" si="127"/>
        <v>11608.25</v>
      </c>
      <c r="E195" s="283">
        <f t="shared" si="127"/>
        <v>31000</v>
      </c>
      <c r="F195" s="284">
        <f>(((F191)+(F192))+(F193))+(F194)</f>
        <v>10468.150000000001</v>
      </c>
      <c r="G195" s="284">
        <f t="shared" si="127"/>
        <v>32000</v>
      </c>
      <c r="H195" s="284">
        <f>(((H191)+(H192))+(H193))+(H194)</f>
        <v>36000</v>
      </c>
      <c r="I195" s="285">
        <f>F195/H195</f>
        <v>0.2907819444444445</v>
      </c>
      <c r="J195" s="285"/>
      <c r="K195" s="513">
        <f>(((K191)+(K192))+(K193))+(K194)</f>
        <v>25531.85</v>
      </c>
      <c r="L195" s="286"/>
      <c r="M195" s="287">
        <f t="shared" ref="M195:Q195" si="128">(((M191)+(M192))+(M193))+(M194)</f>
        <v>32000</v>
      </c>
      <c r="N195" s="171">
        <f t="shared" si="128"/>
        <v>35000</v>
      </c>
      <c r="O195" s="171">
        <f t="shared" si="128"/>
        <v>35000</v>
      </c>
      <c r="P195" s="171">
        <f t="shared" si="128"/>
        <v>35000</v>
      </c>
      <c r="Q195" s="171">
        <f t="shared" si="128"/>
        <v>35000</v>
      </c>
      <c r="R195" s="171"/>
      <c r="S195" s="288"/>
    </row>
    <row r="196" spans="2:28" x14ac:dyDescent="0.75">
      <c r="B196" s="166" t="s">
        <v>86</v>
      </c>
      <c r="C196" s="315"/>
      <c r="D196" s="315"/>
      <c r="E196" s="316"/>
      <c r="F196" s="291"/>
      <c r="G196" s="316"/>
      <c r="H196" s="317"/>
      <c r="I196" s="276"/>
      <c r="J196" s="551"/>
      <c r="K196" s="316"/>
      <c r="L196" s="318"/>
      <c r="M196" s="271"/>
      <c r="N196" s="272"/>
      <c r="O196" s="272"/>
      <c r="P196" s="272"/>
      <c r="Q196" s="272"/>
      <c r="R196" s="272"/>
      <c r="S196" s="272"/>
    </row>
    <row r="197" spans="2:28" x14ac:dyDescent="0.75">
      <c r="B197" s="166" t="s">
        <v>110</v>
      </c>
      <c r="C197" s="320">
        <v>12030</v>
      </c>
      <c r="D197" s="320">
        <v>2946.58</v>
      </c>
      <c r="E197" s="321">
        <v>6000</v>
      </c>
      <c r="F197" s="275">
        <f>'P&amp;L (QB)'!B213</f>
        <v>2992.8</v>
      </c>
      <c r="G197" s="321">
        <v>8245</v>
      </c>
      <c r="H197" s="322">
        <v>3000</v>
      </c>
      <c r="I197" s="298">
        <f>F197/H197</f>
        <v>0.99760000000000004</v>
      </c>
      <c r="J197" s="552"/>
      <c r="K197" s="537">
        <f>H197-F197</f>
        <v>7.1999999999998181</v>
      </c>
      <c r="L197" s="323"/>
      <c r="M197" s="278">
        <f>G197</f>
        <v>8245</v>
      </c>
      <c r="N197" s="168"/>
      <c r="O197" s="168"/>
      <c r="P197" s="168"/>
      <c r="Q197" s="168"/>
      <c r="R197" s="168"/>
      <c r="S197" s="272" t="s">
        <v>623</v>
      </c>
    </row>
    <row r="198" spans="2:28" x14ac:dyDescent="0.75">
      <c r="B198" s="282" t="s">
        <v>87</v>
      </c>
      <c r="C198" s="283">
        <f t="shared" ref="C198:G198" si="129">(C196)+(C197)</f>
        <v>12030</v>
      </c>
      <c r="D198" s="283">
        <f t="shared" si="129"/>
        <v>2946.58</v>
      </c>
      <c r="E198" s="283">
        <f t="shared" si="129"/>
        <v>6000</v>
      </c>
      <c r="F198" s="284">
        <f>(F196)+(F197)</f>
        <v>2992.8</v>
      </c>
      <c r="G198" s="284">
        <f t="shared" si="129"/>
        <v>8245</v>
      </c>
      <c r="H198" s="284">
        <f>(H196)+(H197)</f>
        <v>3000</v>
      </c>
      <c r="I198" s="285">
        <f>F198/H198</f>
        <v>0.99760000000000004</v>
      </c>
      <c r="J198" s="285"/>
      <c r="K198" s="513">
        <f>(K196)+(K197)</f>
        <v>7.1999999999998181</v>
      </c>
      <c r="L198" s="286"/>
      <c r="M198" s="287">
        <f t="shared" ref="M198:Q198" si="130">(M196)+(M197)</f>
        <v>8245</v>
      </c>
      <c r="N198" s="171">
        <f t="shared" si="130"/>
        <v>0</v>
      </c>
      <c r="O198" s="171">
        <f t="shared" si="130"/>
        <v>0</v>
      </c>
      <c r="P198" s="171">
        <f t="shared" si="130"/>
        <v>0</v>
      </c>
      <c r="Q198" s="171">
        <f t="shared" si="130"/>
        <v>0</v>
      </c>
      <c r="R198" s="171"/>
      <c r="S198" s="288"/>
    </row>
    <row r="199" spans="2:28" x14ac:dyDescent="0.75">
      <c r="B199" s="166" t="s">
        <v>88</v>
      </c>
      <c r="C199" s="315"/>
      <c r="D199" s="315"/>
      <c r="E199" s="316"/>
      <c r="F199" s="291"/>
      <c r="G199" s="316"/>
      <c r="H199" s="317"/>
      <c r="I199" s="276"/>
      <c r="J199" s="551"/>
      <c r="K199" s="316"/>
      <c r="L199" s="318"/>
      <c r="M199" s="271"/>
      <c r="N199" s="272"/>
      <c r="O199" s="272"/>
      <c r="P199" s="272"/>
      <c r="Q199" s="272"/>
      <c r="R199" s="272"/>
      <c r="S199" s="272"/>
    </row>
    <row r="200" spans="2:28" x14ac:dyDescent="0.75">
      <c r="B200" s="166" t="s">
        <v>89</v>
      </c>
      <c r="C200" s="320">
        <v>33000</v>
      </c>
      <c r="D200" s="320">
        <v>25863.54</v>
      </c>
      <c r="E200" s="321">
        <v>15000</v>
      </c>
      <c r="F200" s="275">
        <f>'P&amp;L (QB)'!B216</f>
        <v>20589.78</v>
      </c>
      <c r="G200" s="321">
        <v>18060</v>
      </c>
      <c r="H200" s="322">
        <f t="shared" ref="H200" si="131">G200</f>
        <v>18060</v>
      </c>
      <c r="I200" s="298">
        <f>F200/H200</f>
        <v>1.1400764119601328</v>
      </c>
      <c r="J200" s="552"/>
      <c r="K200" s="537">
        <f>H200-F200</f>
        <v>-2529.7799999999988</v>
      </c>
      <c r="L200" s="323"/>
      <c r="M200" s="278">
        <f>G200</f>
        <v>18060</v>
      </c>
      <c r="N200" s="168">
        <v>15000</v>
      </c>
      <c r="O200" s="168">
        <v>15000</v>
      </c>
      <c r="P200" s="168">
        <v>15000</v>
      </c>
      <c r="Q200" s="168">
        <v>15000</v>
      </c>
      <c r="R200" s="168"/>
      <c r="S200" s="272" t="s">
        <v>624</v>
      </c>
    </row>
    <row r="201" spans="2:28" x14ac:dyDescent="0.75">
      <c r="B201" s="282" t="s">
        <v>90</v>
      </c>
      <c r="C201" s="283">
        <f t="shared" ref="C201:G201" si="132">(C199)+(C200)</f>
        <v>33000</v>
      </c>
      <c r="D201" s="283">
        <f t="shared" si="132"/>
        <v>25863.54</v>
      </c>
      <c r="E201" s="283">
        <f t="shared" si="132"/>
        <v>15000</v>
      </c>
      <c r="F201" s="284">
        <f>(F199)+(F200)</f>
        <v>20589.78</v>
      </c>
      <c r="G201" s="284">
        <f t="shared" si="132"/>
        <v>18060</v>
      </c>
      <c r="H201" s="284">
        <f>(H199)+(H200)</f>
        <v>18060</v>
      </c>
      <c r="I201" s="285">
        <f>F201/H201</f>
        <v>1.1400764119601328</v>
      </c>
      <c r="J201" s="285"/>
      <c r="K201" s="513">
        <f>(K199)+(K200)</f>
        <v>-2529.7799999999988</v>
      </c>
      <c r="L201" s="286"/>
      <c r="M201" s="287">
        <f t="shared" ref="M201:Q201" si="133">(M199)+(M200)</f>
        <v>18060</v>
      </c>
      <c r="N201" s="171">
        <f t="shared" si="133"/>
        <v>15000</v>
      </c>
      <c r="O201" s="171">
        <f t="shared" si="133"/>
        <v>15000</v>
      </c>
      <c r="P201" s="171">
        <f t="shared" si="133"/>
        <v>15000</v>
      </c>
      <c r="Q201" s="171">
        <f t="shared" si="133"/>
        <v>15000</v>
      </c>
      <c r="R201" s="171"/>
      <c r="S201" s="288"/>
    </row>
    <row r="202" spans="2:28" x14ac:dyDescent="0.75">
      <c r="B202" s="166" t="s">
        <v>481</v>
      </c>
      <c r="C202" s="315"/>
      <c r="D202" s="315"/>
      <c r="E202" s="316"/>
      <c r="F202" s="291"/>
      <c r="G202" s="316"/>
      <c r="H202" s="317"/>
      <c r="I202" s="276"/>
      <c r="J202" s="551"/>
      <c r="K202" s="316"/>
      <c r="L202" s="318"/>
      <c r="M202" s="271"/>
      <c r="N202" s="272"/>
      <c r="O202" s="272"/>
      <c r="P202" s="272"/>
      <c r="Q202" s="272"/>
      <c r="R202" s="272"/>
      <c r="S202" s="272"/>
    </row>
    <row r="203" spans="2:28" x14ac:dyDescent="0.75">
      <c r="B203" s="166" t="s">
        <v>482</v>
      </c>
      <c r="C203" s="320"/>
      <c r="D203" s="320"/>
      <c r="E203" s="321"/>
      <c r="F203" s="275">
        <f>'P&amp;L (QB)'!B219</f>
        <v>1213.8499999999999</v>
      </c>
      <c r="G203" s="321">
        <v>8000</v>
      </c>
      <c r="H203" s="322">
        <f t="shared" ref="H203" si="134">G203</f>
        <v>8000</v>
      </c>
      <c r="I203" s="298">
        <f>F203/H203</f>
        <v>0.15173124999999998</v>
      </c>
      <c r="J203" s="552"/>
      <c r="K203" s="537">
        <f>H203-F203</f>
        <v>6786.15</v>
      </c>
      <c r="L203" s="323"/>
      <c r="M203" s="300">
        <v>0</v>
      </c>
      <c r="N203" s="168">
        <v>12000</v>
      </c>
      <c r="O203" s="168">
        <v>16000</v>
      </c>
      <c r="P203" s="168">
        <v>20000</v>
      </c>
      <c r="Q203" s="168">
        <v>24000</v>
      </c>
      <c r="R203" s="168"/>
      <c r="S203" s="272"/>
      <c r="AA203" s="724">
        <v>5000</v>
      </c>
      <c r="AB203" s="149" t="s">
        <v>929</v>
      </c>
    </row>
    <row r="204" spans="2:28" x14ac:dyDescent="0.75">
      <c r="B204" s="282" t="s">
        <v>483</v>
      </c>
      <c r="C204" s="283">
        <f t="shared" ref="C204:G204" si="135">(C202)+(C203)</f>
        <v>0</v>
      </c>
      <c r="D204" s="283">
        <f t="shared" si="135"/>
        <v>0</v>
      </c>
      <c r="E204" s="283">
        <f t="shared" si="135"/>
        <v>0</v>
      </c>
      <c r="F204" s="284">
        <f>(F202)+(F203)</f>
        <v>1213.8499999999999</v>
      </c>
      <c r="G204" s="284">
        <f t="shared" si="135"/>
        <v>8000</v>
      </c>
      <c r="H204" s="284">
        <f>(H202)+(H203)</f>
        <v>8000</v>
      </c>
      <c r="I204" s="285">
        <f>F204/H204</f>
        <v>0.15173124999999998</v>
      </c>
      <c r="J204" s="285"/>
      <c r="K204" s="513">
        <f>(K202)+(K203)</f>
        <v>6786.15</v>
      </c>
      <c r="L204" s="286"/>
      <c r="M204" s="271"/>
      <c r="N204" s="288"/>
      <c r="O204" s="288"/>
      <c r="P204" s="288"/>
      <c r="Q204" s="288"/>
      <c r="R204" s="288"/>
      <c r="S204" s="288"/>
    </row>
    <row r="205" spans="2:28" x14ac:dyDescent="0.75">
      <c r="B205" s="166" t="s">
        <v>120</v>
      </c>
      <c r="C205" s="315"/>
      <c r="D205" s="315"/>
      <c r="E205" s="316"/>
      <c r="F205" s="291"/>
      <c r="G205" s="316"/>
      <c r="H205" s="317"/>
      <c r="I205" s="276"/>
      <c r="J205" s="551"/>
      <c r="K205" s="316"/>
      <c r="L205" s="318"/>
      <c r="M205" s="271"/>
      <c r="N205" s="272"/>
      <c r="O205" s="272"/>
      <c r="P205" s="272"/>
      <c r="Q205" s="272"/>
      <c r="R205" s="272"/>
      <c r="S205" s="272"/>
    </row>
    <row r="206" spans="2:28" x14ac:dyDescent="0.75">
      <c r="B206" s="166" t="s">
        <v>155</v>
      </c>
      <c r="C206" s="343"/>
      <c r="D206" s="343">
        <v>490.82</v>
      </c>
      <c r="E206" s="316">
        <v>2500</v>
      </c>
      <c r="F206" s="291">
        <f>'P&amp;L (QB)'!B222</f>
        <v>711.35</v>
      </c>
      <c r="G206" s="316">
        <v>2500</v>
      </c>
      <c r="H206" s="317">
        <f t="shared" ref="H206:H207" si="136">G206</f>
        <v>2500</v>
      </c>
      <c r="I206" s="276">
        <f t="shared" ref="I206:I207" si="137">F206/H206</f>
        <v>0.28454000000000002</v>
      </c>
      <c r="J206" s="551"/>
      <c r="K206" s="538">
        <f>H206-F206</f>
        <v>1788.65</v>
      </c>
      <c r="L206" s="318"/>
      <c r="M206" s="278">
        <f t="shared" ref="M206:M207" si="138">G206</f>
        <v>2500</v>
      </c>
      <c r="N206" s="272"/>
      <c r="O206" s="272"/>
      <c r="P206" s="272"/>
      <c r="Q206" s="272"/>
      <c r="R206" s="272"/>
      <c r="S206" s="272"/>
    </row>
    <row r="207" spans="2:28" x14ac:dyDescent="0.75">
      <c r="B207" s="166" t="s">
        <v>119</v>
      </c>
      <c r="C207" s="363">
        <v>2872</v>
      </c>
      <c r="D207" s="363">
        <v>4823.16</v>
      </c>
      <c r="E207" s="321">
        <v>3000</v>
      </c>
      <c r="F207" s="291">
        <f>'P&amp;L (QB)'!B223</f>
        <v>2812.53</v>
      </c>
      <c r="G207" s="321">
        <v>3000</v>
      </c>
      <c r="H207" s="322">
        <f t="shared" si="136"/>
        <v>3000</v>
      </c>
      <c r="I207" s="298">
        <f t="shared" si="137"/>
        <v>0.93751000000000007</v>
      </c>
      <c r="J207" s="552"/>
      <c r="K207" s="537">
        <f>H207-F207</f>
        <v>187.4699999999998</v>
      </c>
      <c r="L207" s="323"/>
      <c r="M207" s="278">
        <f t="shared" si="138"/>
        <v>3000</v>
      </c>
      <c r="N207" s="272"/>
      <c r="O207" s="272"/>
      <c r="P207" s="272"/>
      <c r="Q207" s="272"/>
      <c r="R207" s="272"/>
      <c r="S207" s="272"/>
    </row>
    <row r="208" spans="2:28" x14ac:dyDescent="0.75">
      <c r="B208" s="282" t="s">
        <v>121</v>
      </c>
      <c r="C208" s="283">
        <f t="shared" ref="C208:G208" si="139">((C205)+(C206))+(C207)</f>
        <v>2872</v>
      </c>
      <c r="D208" s="283">
        <f t="shared" si="139"/>
        <v>5313.98</v>
      </c>
      <c r="E208" s="283">
        <f t="shared" si="139"/>
        <v>5500</v>
      </c>
      <c r="F208" s="284">
        <f>((F205)+(F206))+(F207)</f>
        <v>3523.88</v>
      </c>
      <c r="G208" s="284">
        <f t="shared" si="139"/>
        <v>5500</v>
      </c>
      <c r="H208" s="284">
        <f>((H205)+(H206))+(H207)</f>
        <v>5500</v>
      </c>
      <c r="I208" s="285">
        <f>F208/H208</f>
        <v>0.64070545454545458</v>
      </c>
      <c r="J208" s="285"/>
      <c r="K208" s="513">
        <f>((K205)+(K206))+(K207)</f>
        <v>1976.12</v>
      </c>
      <c r="L208" s="286"/>
      <c r="M208" s="287">
        <f t="shared" ref="M208:Q208" si="140">((M205)+(M206))+(M207)</f>
        <v>5500</v>
      </c>
      <c r="N208" s="171">
        <f t="shared" si="140"/>
        <v>0</v>
      </c>
      <c r="O208" s="171">
        <f t="shared" si="140"/>
        <v>0</v>
      </c>
      <c r="P208" s="171">
        <f t="shared" si="140"/>
        <v>0</v>
      </c>
      <c r="Q208" s="171">
        <f t="shared" si="140"/>
        <v>0</v>
      </c>
      <c r="R208" s="171"/>
      <c r="S208" s="288"/>
    </row>
    <row r="209" spans="2:28" x14ac:dyDescent="0.75">
      <c r="B209" s="166" t="s">
        <v>484</v>
      </c>
      <c r="C209" s="315"/>
      <c r="D209" s="315"/>
      <c r="E209" s="316"/>
      <c r="F209" s="291"/>
      <c r="G209" s="316"/>
      <c r="H209" s="317"/>
      <c r="I209" s="276"/>
      <c r="J209" s="551"/>
      <c r="K209" s="316"/>
      <c r="L209" s="318"/>
      <c r="M209" s="271"/>
      <c r="N209" s="272"/>
      <c r="O209" s="272"/>
      <c r="P209" s="272"/>
      <c r="Q209" s="272"/>
      <c r="R209" s="272"/>
      <c r="S209" s="272"/>
    </row>
    <row r="210" spans="2:28" x14ac:dyDescent="0.75">
      <c r="B210" s="166" t="s">
        <v>485</v>
      </c>
      <c r="C210" s="343"/>
      <c r="D210" s="343"/>
      <c r="E210" s="316">
        <v>4000</v>
      </c>
      <c r="F210" s="291">
        <f>'P&amp;L (QB)'!B226</f>
        <v>1354.36</v>
      </c>
      <c r="G210" s="316">
        <v>4000</v>
      </c>
      <c r="H210" s="317">
        <f t="shared" ref="H210" si="141">G210</f>
        <v>4000</v>
      </c>
      <c r="I210" s="276">
        <f>F210/H210</f>
        <v>0.33859</v>
      </c>
      <c r="J210" s="551"/>
      <c r="K210" s="538">
        <f>H210-F210</f>
        <v>2645.6400000000003</v>
      </c>
      <c r="L210" s="318"/>
      <c r="M210" s="278">
        <f>G210</f>
        <v>4000</v>
      </c>
      <c r="N210" s="272"/>
      <c r="O210" s="272"/>
      <c r="P210" s="272"/>
      <c r="Q210" s="272"/>
      <c r="R210" s="272"/>
      <c r="S210" s="272" t="s">
        <v>625</v>
      </c>
    </row>
    <row r="211" spans="2:28" x14ac:dyDescent="0.75">
      <c r="B211" s="282" t="s">
        <v>486</v>
      </c>
      <c r="C211" s="283">
        <f t="shared" ref="C211:G211" si="142">(C209)+(C210)</f>
        <v>0</v>
      </c>
      <c r="D211" s="283">
        <f t="shared" si="142"/>
        <v>0</v>
      </c>
      <c r="E211" s="284">
        <f t="shared" si="142"/>
        <v>4000</v>
      </c>
      <c r="F211" s="284">
        <f>(F209)+(F210)</f>
        <v>1354.36</v>
      </c>
      <c r="G211" s="284">
        <f t="shared" si="142"/>
        <v>4000</v>
      </c>
      <c r="H211" s="284">
        <f>(H209)+(H210)</f>
        <v>4000</v>
      </c>
      <c r="I211" s="285">
        <f>F211/H211</f>
        <v>0.33859</v>
      </c>
      <c r="J211" s="285"/>
      <c r="K211" s="513">
        <f>(K209)+(K210)</f>
        <v>2645.6400000000003</v>
      </c>
      <c r="L211" s="286"/>
      <c r="M211" s="287">
        <f t="shared" ref="M211:Q211" si="143">(M209)+(M210)</f>
        <v>4000</v>
      </c>
      <c r="N211" s="171">
        <f t="shared" si="143"/>
        <v>0</v>
      </c>
      <c r="O211" s="171">
        <f t="shared" si="143"/>
        <v>0</v>
      </c>
      <c r="P211" s="171">
        <f t="shared" si="143"/>
        <v>0</v>
      </c>
      <c r="Q211" s="171">
        <f t="shared" si="143"/>
        <v>0</v>
      </c>
      <c r="R211" s="171"/>
      <c r="S211" s="288"/>
    </row>
    <row r="212" spans="2:28" x14ac:dyDescent="0.75">
      <c r="B212" s="166" t="s">
        <v>91</v>
      </c>
      <c r="C212" s="315"/>
      <c r="D212" s="315"/>
      <c r="E212" s="316"/>
      <c r="F212" s="291"/>
      <c r="G212" s="316"/>
      <c r="H212" s="317"/>
      <c r="I212" s="276"/>
      <c r="J212" s="551"/>
      <c r="K212" s="316"/>
      <c r="L212" s="318"/>
      <c r="M212" s="271"/>
      <c r="N212" s="272"/>
      <c r="O212" s="272"/>
      <c r="P212" s="272"/>
      <c r="Q212" s="272"/>
      <c r="R212" s="272"/>
      <c r="S212" s="272"/>
    </row>
    <row r="213" spans="2:28" x14ac:dyDescent="0.75">
      <c r="B213" s="166" t="s">
        <v>283</v>
      </c>
      <c r="C213" s="315"/>
      <c r="D213" s="315"/>
      <c r="E213" s="316">
        <v>200</v>
      </c>
      <c r="F213" s="291">
        <f>'P&amp;L (QB)'!B229</f>
        <v>329.55</v>
      </c>
      <c r="G213" s="316">
        <v>200</v>
      </c>
      <c r="H213" s="317">
        <f t="shared" ref="H213:H217" si="144">G213</f>
        <v>200</v>
      </c>
      <c r="I213" s="276">
        <f>F213/H213</f>
        <v>1.64775</v>
      </c>
      <c r="J213" s="551"/>
      <c r="K213" s="538">
        <f t="shared" ref="K213:K217" si="145">H213-F213</f>
        <v>-129.55000000000001</v>
      </c>
      <c r="L213" s="318"/>
      <c r="M213" s="278">
        <v>200</v>
      </c>
      <c r="N213" s="273">
        <v>200</v>
      </c>
      <c r="O213" s="273">
        <v>200</v>
      </c>
      <c r="P213" s="273">
        <v>200</v>
      </c>
      <c r="Q213" s="273">
        <v>200</v>
      </c>
      <c r="R213" s="273"/>
      <c r="S213" s="272" t="s">
        <v>626</v>
      </c>
    </row>
    <row r="214" spans="2:28" x14ac:dyDescent="0.75">
      <c r="B214" s="166" t="s">
        <v>159</v>
      </c>
      <c r="C214" s="315"/>
      <c r="D214" s="315"/>
      <c r="E214" s="316"/>
      <c r="F214" s="291">
        <f>'P&amp;L (QB)'!B230</f>
        <v>109.21</v>
      </c>
      <c r="G214" s="316"/>
      <c r="H214" s="317">
        <f t="shared" si="144"/>
        <v>0</v>
      </c>
      <c r="I214" s="276"/>
      <c r="J214" s="551"/>
      <c r="K214" s="538">
        <f t="shared" si="145"/>
        <v>-109.21</v>
      </c>
      <c r="L214" s="318"/>
      <c r="M214" s="278"/>
      <c r="N214" s="273"/>
      <c r="O214" s="273"/>
      <c r="P214" s="273"/>
      <c r="Q214" s="273"/>
      <c r="R214" s="273"/>
      <c r="S214" s="272"/>
    </row>
    <row r="215" spans="2:28" x14ac:dyDescent="0.75">
      <c r="B215" s="166" t="s">
        <v>92</v>
      </c>
      <c r="C215" s="320"/>
      <c r="D215" s="320">
        <v>57.01</v>
      </c>
      <c r="E215" s="321">
        <v>1000</v>
      </c>
      <c r="F215" s="291">
        <v>0</v>
      </c>
      <c r="G215" s="321">
        <v>1000</v>
      </c>
      <c r="H215" s="322">
        <f t="shared" si="144"/>
        <v>1000</v>
      </c>
      <c r="I215" s="298">
        <f>F215/H215</f>
        <v>0</v>
      </c>
      <c r="J215" s="552"/>
      <c r="K215" s="537">
        <f t="shared" si="145"/>
        <v>1000</v>
      </c>
      <c r="L215" s="323"/>
      <c r="M215" s="300">
        <v>1000</v>
      </c>
      <c r="N215" s="168">
        <v>1000</v>
      </c>
      <c r="O215" s="168">
        <v>1000</v>
      </c>
      <c r="P215" s="168">
        <v>1000</v>
      </c>
      <c r="Q215" s="168">
        <v>1000</v>
      </c>
      <c r="R215" s="168"/>
      <c r="S215" s="272"/>
      <c r="AA215" s="724">
        <v>1000</v>
      </c>
      <c r="AB215" s="149" t="s">
        <v>930</v>
      </c>
    </row>
    <row r="216" spans="2:28" x14ac:dyDescent="0.75">
      <c r="B216" s="166" t="s">
        <v>128</v>
      </c>
      <c r="C216" s="320"/>
      <c r="D216" s="320">
        <v>705.09</v>
      </c>
      <c r="E216" s="321"/>
      <c r="F216" s="291">
        <v>0</v>
      </c>
      <c r="G216" s="321"/>
      <c r="H216" s="322">
        <f t="shared" si="144"/>
        <v>0</v>
      </c>
      <c r="I216" s="298"/>
      <c r="J216" s="552"/>
      <c r="K216" s="537">
        <f t="shared" si="145"/>
        <v>0</v>
      </c>
      <c r="L216" s="323"/>
      <c r="M216" s="271"/>
      <c r="N216" s="272"/>
      <c r="O216" s="272"/>
      <c r="P216" s="272"/>
      <c r="Q216" s="272"/>
      <c r="R216" s="272"/>
      <c r="S216" s="272"/>
    </row>
    <row r="217" spans="2:28" x14ac:dyDescent="0.75">
      <c r="B217" s="166" t="s">
        <v>284</v>
      </c>
      <c r="C217" s="320"/>
      <c r="D217" s="320">
        <v>2.16</v>
      </c>
      <c r="E217" s="321"/>
      <c r="F217" s="291">
        <v>0</v>
      </c>
      <c r="G217" s="321"/>
      <c r="H217" s="322">
        <f t="shared" si="144"/>
        <v>0</v>
      </c>
      <c r="I217" s="298"/>
      <c r="J217" s="552"/>
      <c r="K217" s="537">
        <f t="shared" si="145"/>
        <v>0</v>
      </c>
      <c r="L217" s="323"/>
      <c r="M217" s="271"/>
      <c r="N217" s="272"/>
      <c r="O217" s="272"/>
      <c r="P217" s="272"/>
      <c r="Q217" s="272"/>
      <c r="R217" s="272"/>
      <c r="S217" s="272"/>
    </row>
    <row r="218" spans="2:28" x14ac:dyDescent="0.75">
      <c r="B218" s="282" t="s">
        <v>93</v>
      </c>
      <c r="C218" s="283">
        <f t="shared" ref="C218:G218" si="146">(((((C212)+(C213))+(C214))+(C215))+(C216))+(C217)</f>
        <v>0</v>
      </c>
      <c r="D218" s="283">
        <f t="shared" si="146"/>
        <v>764.26</v>
      </c>
      <c r="E218" s="283">
        <f t="shared" si="146"/>
        <v>1200</v>
      </c>
      <c r="F218" s="284">
        <f>(((((F212)+(F213))+(F214))+(F215))+(F216))+(F217)</f>
        <v>438.76</v>
      </c>
      <c r="G218" s="284">
        <f t="shared" si="146"/>
        <v>1200</v>
      </c>
      <c r="H218" s="284">
        <f>(((((H212)+(H213))+(H214))+(H215))+(H216))+(H217)</f>
        <v>1200</v>
      </c>
      <c r="I218" s="285">
        <f>F218/H218</f>
        <v>0.36563333333333331</v>
      </c>
      <c r="J218" s="285"/>
      <c r="K218" s="513">
        <f>(((((K212)+(K213))+(K214))+(K215))+(K216))+(K217)</f>
        <v>761.24</v>
      </c>
      <c r="L218" s="286"/>
      <c r="M218" s="287">
        <f t="shared" ref="M218:Q218" si="147">(((((M212)+(M213))+(M214))+(M215))+(M216))+(M217)</f>
        <v>1200</v>
      </c>
      <c r="N218" s="171">
        <f t="shared" si="147"/>
        <v>1200</v>
      </c>
      <c r="O218" s="171">
        <f t="shared" si="147"/>
        <v>1200</v>
      </c>
      <c r="P218" s="171">
        <f t="shared" si="147"/>
        <v>1200</v>
      </c>
      <c r="Q218" s="171">
        <f t="shared" si="147"/>
        <v>1200</v>
      </c>
      <c r="R218" s="171"/>
      <c r="S218" s="288"/>
    </row>
    <row r="219" spans="2:28" x14ac:dyDescent="0.75">
      <c r="B219" s="166" t="s">
        <v>94</v>
      </c>
      <c r="C219" s="315"/>
      <c r="D219" s="315"/>
      <c r="E219" s="316"/>
      <c r="F219" s="291"/>
      <c r="G219" s="316"/>
      <c r="H219" s="317"/>
      <c r="I219" s="276"/>
      <c r="J219" s="551"/>
      <c r="K219" s="316"/>
      <c r="L219" s="318"/>
      <c r="M219" s="271"/>
      <c r="N219" s="272"/>
      <c r="O219" s="272"/>
      <c r="P219" s="272"/>
      <c r="Q219" s="272"/>
      <c r="R219" s="272"/>
      <c r="S219" s="272"/>
    </row>
    <row r="220" spans="2:28" x14ac:dyDescent="0.75">
      <c r="B220" s="338" t="s">
        <v>95</v>
      </c>
      <c r="C220" s="354">
        <v>4179</v>
      </c>
      <c r="D220" s="354">
        <v>2284.64</v>
      </c>
      <c r="E220" s="316">
        <v>30531.66</v>
      </c>
      <c r="F220" s="291">
        <f>'P&amp;L (QB)'!B236</f>
        <v>19890.78</v>
      </c>
      <c r="G220" s="316">
        <v>30531.66</v>
      </c>
      <c r="H220" s="317">
        <v>39471</v>
      </c>
      <c r="I220" s="276">
        <f>F220/H220</f>
        <v>0.50393402751387095</v>
      </c>
      <c r="J220" s="551"/>
      <c r="K220" s="538">
        <f>H220-F220</f>
        <v>19580.22</v>
      </c>
      <c r="L220" s="318"/>
      <c r="M220" s="278">
        <f>G220</f>
        <v>30531.66</v>
      </c>
      <c r="N220" s="341"/>
      <c r="O220" s="341"/>
      <c r="P220" s="341"/>
      <c r="Q220" s="341"/>
      <c r="R220" s="341"/>
      <c r="S220" s="341" t="s">
        <v>627</v>
      </c>
      <c r="AA220" s="28"/>
    </row>
    <row r="221" spans="2:28" x14ac:dyDescent="0.75">
      <c r="B221" s="166" t="s">
        <v>487</v>
      </c>
      <c r="C221" s="315"/>
      <c r="D221" s="315"/>
      <c r="E221" s="316"/>
      <c r="F221" s="291">
        <f>'P&amp;L (QB)'!B237</f>
        <v>0</v>
      </c>
      <c r="G221" s="316"/>
      <c r="H221" s="317"/>
      <c r="I221" s="276"/>
      <c r="J221" s="551"/>
      <c r="K221" s="538"/>
      <c r="L221" s="318"/>
      <c r="M221" s="271"/>
      <c r="N221" s="272"/>
      <c r="O221" s="272"/>
      <c r="P221" s="272"/>
      <c r="Q221" s="272"/>
      <c r="R221" s="272"/>
      <c r="S221" s="272"/>
    </row>
    <row r="222" spans="2:28" x14ac:dyDescent="0.75">
      <c r="B222" s="282" t="s">
        <v>96</v>
      </c>
      <c r="C222" s="283">
        <f t="shared" ref="C222:G222" si="148">((C219)+(C220))+(C221)</f>
        <v>4179</v>
      </c>
      <c r="D222" s="283">
        <f t="shared" si="148"/>
        <v>2284.64</v>
      </c>
      <c r="E222" s="283">
        <f t="shared" si="148"/>
        <v>30531.66</v>
      </c>
      <c r="F222" s="284">
        <f>((F219)+(F220))+(F221)</f>
        <v>19890.78</v>
      </c>
      <c r="G222" s="284">
        <f t="shared" si="148"/>
        <v>30531.66</v>
      </c>
      <c r="H222" s="284">
        <f>((H219)+(H220))+(H221)</f>
        <v>39471</v>
      </c>
      <c r="I222" s="285">
        <f>F222/H222</f>
        <v>0.50393402751387095</v>
      </c>
      <c r="J222" s="285"/>
      <c r="K222" s="513">
        <f>((K219)+(K220))+(K221)</f>
        <v>19580.22</v>
      </c>
      <c r="L222" s="286"/>
      <c r="M222" s="364">
        <f>((M219)+(M220))+(M221)</f>
        <v>30531.66</v>
      </c>
      <c r="N222" s="288"/>
      <c r="O222" s="288"/>
      <c r="P222" s="288"/>
      <c r="Q222" s="288"/>
      <c r="R222" s="288"/>
      <c r="S222" s="288"/>
    </row>
    <row r="223" spans="2:28" x14ac:dyDescent="0.75">
      <c r="B223" s="166" t="s">
        <v>178</v>
      </c>
      <c r="C223" s="315"/>
      <c r="D223" s="315"/>
      <c r="E223" s="316"/>
      <c r="F223" s="291"/>
      <c r="G223" s="316"/>
      <c r="H223" s="317"/>
      <c r="I223" s="276"/>
      <c r="J223" s="551"/>
      <c r="K223" s="316"/>
      <c r="L223" s="318"/>
      <c r="M223" s="271"/>
      <c r="N223" s="272"/>
      <c r="O223" s="272"/>
      <c r="P223" s="272"/>
      <c r="Q223" s="272"/>
      <c r="R223" s="272"/>
      <c r="S223" s="272"/>
    </row>
    <row r="224" spans="2:28" x14ac:dyDescent="0.75">
      <c r="B224" s="166" t="s">
        <v>285</v>
      </c>
      <c r="C224" s="315"/>
      <c r="D224" s="315"/>
      <c r="E224" s="316">
        <v>526000</v>
      </c>
      <c r="F224" s="291">
        <f>'P&amp;L (QB)'!B240</f>
        <v>346430.34</v>
      </c>
      <c r="G224" s="316">
        <v>526000</v>
      </c>
      <c r="H224" s="317">
        <f t="shared" ref="H224" si="149">G224</f>
        <v>526000</v>
      </c>
      <c r="I224" s="276">
        <f t="shared" ref="I224:I228" si="150">F224/H224</f>
        <v>0.65861281368821301</v>
      </c>
      <c r="J224" s="551"/>
      <c r="K224" s="538">
        <f t="shared" ref="K224:K229" si="151">H224-F224</f>
        <v>179569.65999999997</v>
      </c>
      <c r="L224" s="318"/>
      <c r="M224" s="365">
        <v>526000</v>
      </c>
      <c r="N224" s="366">
        <v>750000</v>
      </c>
      <c r="O224" s="366">
        <v>1000000</v>
      </c>
      <c r="P224" s="366">
        <v>1250000</v>
      </c>
      <c r="Q224" s="366">
        <v>1500000</v>
      </c>
      <c r="R224" s="366"/>
      <c r="S224" s="367" t="e">
        <f>G224/G235</f>
        <v>#VALUE!</v>
      </c>
    </row>
    <row r="225" spans="2:28" x14ac:dyDescent="0.75">
      <c r="B225" s="338" t="s">
        <v>179</v>
      </c>
      <c r="C225" s="354"/>
      <c r="D225" s="354">
        <v>33174.03</v>
      </c>
      <c r="E225" s="316">
        <v>2000</v>
      </c>
      <c r="F225" s="291">
        <f>'P&amp;L (QB)'!B241</f>
        <v>17560.59</v>
      </c>
      <c r="G225" s="316">
        <v>2000</v>
      </c>
      <c r="H225" s="317">
        <f>1500+2025+5362+5435+1350</f>
        <v>15672</v>
      </c>
      <c r="I225" s="276">
        <f t="shared" si="150"/>
        <v>1.1205072741194486</v>
      </c>
      <c r="J225" s="551"/>
      <c r="K225" s="538">
        <f t="shared" si="151"/>
        <v>-1888.5900000000001</v>
      </c>
      <c r="L225" s="318"/>
      <c r="M225" s="278">
        <f>G225</f>
        <v>2000</v>
      </c>
      <c r="N225" s="273">
        <f>G225*1.03</f>
        <v>2060</v>
      </c>
      <c r="O225" s="273">
        <f t="shared" ref="O225:Q227" si="152">N225*1.03</f>
        <v>2121.8000000000002</v>
      </c>
      <c r="P225" s="273">
        <f t="shared" si="152"/>
        <v>2185.4540000000002</v>
      </c>
      <c r="Q225" s="273">
        <f t="shared" si="152"/>
        <v>2251.0176200000001</v>
      </c>
      <c r="R225" s="273"/>
      <c r="S225" s="272" t="s">
        <v>628</v>
      </c>
    </row>
    <row r="226" spans="2:28" x14ac:dyDescent="0.75">
      <c r="B226" s="368" t="s">
        <v>286</v>
      </c>
      <c r="C226" s="315"/>
      <c r="D226" s="315"/>
      <c r="E226" s="316">
        <v>60000</v>
      </c>
      <c r="F226" s="291">
        <f>'P&amp;L (QB)'!B242</f>
        <v>33287.94</v>
      </c>
      <c r="G226" s="316">
        <v>60000</v>
      </c>
      <c r="H226" s="317">
        <f t="shared" ref="H226:H229" si="153">G226</f>
        <v>60000</v>
      </c>
      <c r="I226" s="276">
        <f t="shared" si="150"/>
        <v>0.55479900000000004</v>
      </c>
      <c r="J226" s="551"/>
      <c r="K226" s="538">
        <f t="shared" si="151"/>
        <v>26712.059999999998</v>
      </c>
      <c r="L226" s="318"/>
      <c r="M226" s="278">
        <f>G226</f>
        <v>60000</v>
      </c>
      <c r="N226" s="273">
        <f>G226*1.03</f>
        <v>61800</v>
      </c>
      <c r="O226" s="273">
        <f t="shared" si="152"/>
        <v>63654</v>
      </c>
      <c r="P226" s="273">
        <f t="shared" si="152"/>
        <v>65563.62</v>
      </c>
      <c r="Q226" s="273">
        <f t="shared" si="152"/>
        <v>67530.528599999991</v>
      </c>
      <c r="R226" s="273"/>
      <c r="S226" s="272" t="s">
        <v>629</v>
      </c>
      <c r="AA226" s="28"/>
    </row>
    <row r="227" spans="2:28" x14ac:dyDescent="0.75">
      <c r="B227" s="369" t="s">
        <v>630</v>
      </c>
      <c r="C227" s="354"/>
      <c r="D227" s="354"/>
      <c r="E227" s="316">
        <v>5000</v>
      </c>
      <c r="F227" s="291">
        <f>'P&amp;L (QB)'!B243</f>
        <v>3535.86</v>
      </c>
      <c r="G227" s="316">
        <v>6000</v>
      </c>
      <c r="H227" s="317">
        <f t="shared" si="153"/>
        <v>6000</v>
      </c>
      <c r="I227" s="276">
        <f t="shared" si="150"/>
        <v>0.58931</v>
      </c>
      <c r="J227" s="551"/>
      <c r="K227" s="538">
        <f t="shared" si="151"/>
        <v>2464.14</v>
      </c>
      <c r="L227" s="318"/>
      <c r="M227" s="278">
        <f>G227</f>
        <v>6000</v>
      </c>
      <c r="N227" s="355">
        <f>G227*1.03</f>
        <v>6180</v>
      </c>
      <c r="O227" s="355">
        <f t="shared" si="152"/>
        <v>6365.4000000000005</v>
      </c>
      <c r="P227" s="355">
        <f t="shared" si="152"/>
        <v>6556.362000000001</v>
      </c>
      <c r="Q227" s="355">
        <f t="shared" si="152"/>
        <v>6753.0528600000016</v>
      </c>
      <c r="R227" s="355"/>
      <c r="S227" s="341" t="s">
        <v>631</v>
      </c>
    </row>
    <row r="228" spans="2:28" x14ac:dyDescent="0.75">
      <c r="B228" s="369" t="s">
        <v>489</v>
      </c>
      <c r="C228" s="354"/>
      <c r="D228" s="354"/>
      <c r="E228" s="316">
        <v>86400</v>
      </c>
      <c r="F228" s="291">
        <f>'P&amp;L (QB)'!B244</f>
        <v>56116.07</v>
      </c>
      <c r="G228" s="316">
        <f>7200*12</f>
        <v>86400</v>
      </c>
      <c r="H228" s="317">
        <f t="shared" si="153"/>
        <v>86400</v>
      </c>
      <c r="I228" s="276">
        <f t="shared" si="150"/>
        <v>0.64949155092592592</v>
      </c>
      <c r="J228" s="551"/>
      <c r="K228" s="538">
        <f t="shared" si="151"/>
        <v>30283.93</v>
      </c>
      <c r="L228" s="318"/>
      <c r="M228" s="278">
        <f>G228</f>
        <v>86400</v>
      </c>
      <c r="N228" s="355"/>
      <c r="O228" s="355"/>
      <c r="P228" s="355"/>
      <c r="Q228" s="355"/>
      <c r="R228" s="355"/>
      <c r="S228" s="341" t="s">
        <v>632</v>
      </c>
    </row>
    <row r="229" spans="2:28" x14ac:dyDescent="0.75">
      <c r="B229" s="368" t="s">
        <v>287</v>
      </c>
      <c r="C229" s="315"/>
      <c r="D229" s="315"/>
      <c r="E229" s="316">
        <v>925938.20863992791</v>
      </c>
      <c r="F229" s="291">
        <f>'P&amp;L (QB)'!B245</f>
        <v>617292.16</v>
      </c>
      <c r="G229" s="316">
        <v>925938.20863992791</v>
      </c>
      <c r="H229" s="317">
        <f t="shared" si="153"/>
        <v>925938.20863992791</v>
      </c>
      <c r="I229" s="276">
        <f>F229/H229</f>
        <v>0.66666668924561912</v>
      </c>
      <c r="J229" s="551"/>
      <c r="K229" s="538">
        <f t="shared" si="151"/>
        <v>308646.04863992787</v>
      </c>
      <c r="L229" s="318"/>
      <c r="M229" s="277">
        <f>G229</f>
        <v>925938.20863992791</v>
      </c>
      <c r="N229" s="273">
        <v>701938.20863992791</v>
      </c>
      <c r="O229" s="273">
        <v>451938.20863992791</v>
      </c>
      <c r="P229" s="273">
        <v>201938.20863992791</v>
      </c>
      <c r="Q229" s="273">
        <v>-48061.791360072093</v>
      </c>
      <c r="R229" s="273"/>
      <c r="S229" s="272" t="s">
        <v>633</v>
      </c>
    </row>
    <row r="230" spans="2:28" x14ac:dyDescent="0.75">
      <c r="B230" s="282" t="s">
        <v>180</v>
      </c>
      <c r="C230" s="283">
        <f>((((C223)+(C224))+(C225))+(C226))+(C229)</f>
        <v>0</v>
      </c>
      <c r="D230" s="283">
        <f>((((D223)+(D224))+(D225))+(D226))+(D229)</f>
        <v>33174.03</v>
      </c>
      <c r="E230" s="283">
        <f>((((E223)+(E224))+(E225))+(E226))+(E229)+E228+E227</f>
        <v>1605338.2086399279</v>
      </c>
      <c r="F230" s="283">
        <f>((((F223)+(F224))+(F225))+(F226))+(F229)+F228+F227</f>
        <v>1074222.9600000002</v>
      </c>
      <c r="G230" s="283">
        <f t="shared" ref="G230" si="154">((((G223)+(G224))+(G225))+(G226))+(G229)+G228+G227</f>
        <v>1606338.2086399279</v>
      </c>
      <c r="H230" s="283">
        <f>((((H223)+(H224))+(H225))+(H226))+(H229)+H228+H227</f>
        <v>1620010.2086399279</v>
      </c>
      <c r="I230" s="285">
        <f>F230/H230</f>
        <v>0.66309641400461239</v>
      </c>
      <c r="J230" s="285"/>
      <c r="K230" s="512">
        <f>((((K223)+(K224))+(K225))+(K226))+(K229)+K228+K227</f>
        <v>545787.24863992794</v>
      </c>
      <c r="L230" s="286"/>
      <c r="M230" s="287">
        <f>SUM(M224:M229)</f>
        <v>1606338.2086399279</v>
      </c>
      <c r="N230" s="171">
        <f>((((N223)+(N224))+(N225))+(N226))+(N229)</f>
        <v>1515798.2086399279</v>
      </c>
      <c r="O230" s="171">
        <f>((((O223)+(O224))+(O225))+(O226))+(O229)</f>
        <v>1517714.008639928</v>
      </c>
      <c r="P230" s="171">
        <f>((((P223)+(P224))+(P225))+(P226))+(P229)</f>
        <v>1519687.2826399279</v>
      </c>
      <c r="Q230" s="171">
        <f>((((Q223)+(Q224))+(Q225))+(Q226))+(Q229)</f>
        <v>1521719.754859928</v>
      </c>
      <c r="R230" s="171"/>
      <c r="S230" s="288"/>
    </row>
    <row r="231" spans="2:28" x14ac:dyDescent="0.75">
      <c r="B231" s="166" t="s">
        <v>491</v>
      </c>
      <c r="C231" s="315"/>
      <c r="D231" s="315"/>
      <c r="E231" s="316"/>
      <c r="F231" s="291"/>
      <c r="G231" s="316"/>
      <c r="H231" s="317"/>
      <c r="I231" s="276"/>
      <c r="J231" s="551"/>
      <c r="K231" s="316"/>
      <c r="L231" s="318"/>
      <c r="M231" s="271"/>
      <c r="N231" s="272"/>
      <c r="O231" s="272"/>
      <c r="P231" s="272"/>
      <c r="Q231" s="272"/>
      <c r="R231" s="272"/>
      <c r="S231" s="272"/>
    </row>
    <row r="232" spans="2:28" x14ac:dyDescent="0.75">
      <c r="B232" s="166" t="s">
        <v>492</v>
      </c>
      <c r="C232" s="343"/>
      <c r="D232" s="343"/>
      <c r="E232" s="316">
        <v>51768.07142857142</v>
      </c>
      <c r="F232" s="291">
        <f>'P&amp;L (QB)'!B249</f>
        <v>23209</v>
      </c>
      <c r="G232" s="316">
        <f>SUM(W239:X256)</f>
        <v>85719.547619047618</v>
      </c>
      <c r="H232" s="317">
        <f t="shared" ref="H232:H233" si="155">G232</f>
        <v>85719.547619047618</v>
      </c>
      <c r="I232" s="276">
        <f>F232/H232</f>
        <v>0.27075504531527372</v>
      </c>
      <c r="J232" s="551"/>
      <c r="K232" s="538">
        <f>H232-F232</f>
        <v>62510.547619047618</v>
      </c>
      <c r="L232" s="318"/>
      <c r="M232" s="370">
        <f>G232</f>
        <v>85719.547619047618</v>
      </c>
      <c r="N232" s="272"/>
      <c r="O232" s="272"/>
      <c r="P232" s="272"/>
      <c r="Q232" s="272"/>
      <c r="R232" s="272"/>
      <c r="S232" s="272"/>
      <c r="AA232" s="724"/>
      <c r="AB232" s="149" t="s">
        <v>931</v>
      </c>
    </row>
    <row r="233" spans="2:28" x14ac:dyDescent="0.75">
      <c r="B233" s="166" t="s">
        <v>493</v>
      </c>
      <c r="C233" s="315"/>
      <c r="D233" s="315"/>
      <c r="E233" s="316"/>
      <c r="F233" s="291"/>
      <c r="G233" s="316"/>
      <c r="H233" s="317">
        <f t="shared" si="155"/>
        <v>0</v>
      </c>
      <c r="I233" s="276"/>
      <c r="J233" s="551"/>
      <c r="K233" s="316"/>
      <c r="L233" s="318"/>
      <c r="M233" s="271"/>
      <c r="N233" s="272"/>
      <c r="O233" s="272"/>
      <c r="P233" s="272"/>
      <c r="Q233" s="272"/>
      <c r="R233" s="272"/>
      <c r="S233" s="272"/>
    </row>
    <row r="234" spans="2:28" x14ac:dyDescent="0.75">
      <c r="B234" s="282" t="s">
        <v>494</v>
      </c>
      <c r="C234" s="283">
        <f t="shared" ref="C234:G234" si="156">((C231)+(C232))+(C233)</f>
        <v>0</v>
      </c>
      <c r="D234" s="283">
        <f t="shared" si="156"/>
        <v>0</v>
      </c>
      <c r="E234" s="283">
        <f t="shared" si="156"/>
        <v>51768.07142857142</v>
      </c>
      <c r="F234" s="284">
        <f>((F231)+(F232))+(F233)</f>
        <v>23209</v>
      </c>
      <c r="G234" s="284">
        <f t="shared" si="156"/>
        <v>85719.547619047618</v>
      </c>
      <c r="H234" s="284">
        <f>((H231)+(H232))+(H233)</f>
        <v>85719.547619047618</v>
      </c>
      <c r="I234" s="285">
        <f>F234/H234</f>
        <v>0.27075504531527372</v>
      </c>
      <c r="J234" s="285"/>
      <c r="K234" s="513">
        <f>((K231)+(K232))+(K233)</f>
        <v>62510.547619047618</v>
      </c>
      <c r="L234" s="286"/>
      <c r="M234" s="287">
        <f t="shared" ref="M234:Q234" si="157">((M231)+(M232))+(M233)</f>
        <v>85719.547619047618</v>
      </c>
      <c r="N234" s="171">
        <f t="shared" si="157"/>
        <v>0</v>
      </c>
      <c r="O234" s="171">
        <f t="shared" si="157"/>
        <v>0</v>
      </c>
      <c r="P234" s="171">
        <f t="shared" si="157"/>
        <v>0</v>
      </c>
      <c r="Q234" s="171">
        <f t="shared" si="157"/>
        <v>0</v>
      </c>
      <c r="R234" s="171"/>
      <c r="S234" s="288"/>
    </row>
    <row r="235" spans="2:28" x14ac:dyDescent="0.75">
      <c r="B235" s="282" t="s">
        <v>13</v>
      </c>
      <c r="C235" s="283" t="e">
        <f t="shared" ref="C235:Q235" si="158">(((((((((((((((((((((((C114)+(C130))+(C134))+(C143))+(C146))+(C152))+(C157))+(C164))+(C168))+(C175))+(C178))+(C182))+(C186))+(C190))+(C195))+(C198))+(C201))+(C204))+(C208))+(C211))+(C218))+(C222))+(C230))+(C234)</f>
        <v>#REF!</v>
      </c>
      <c r="D235" s="283">
        <f t="shared" si="158"/>
        <v>347413.75999999989</v>
      </c>
      <c r="E235" s="283" t="e">
        <f t="shared" si="158"/>
        <v>#REF!</v>
      </c>
      <c r="F235" s="284">
        <f>(((((((((((((((((((((((F114)+(F130))+(F134))+(F143))+(F146))+(F152))+(F157))+(F164))+(F168))+(F175))+(F178))+(F182))+(F186))+(F190))+(F195))+(F198))+(F201))+(F204))+(F208))+(F211))+(F218))+(F222))+(F230))+(F234)</f>
        <v>2180199.0500000003</v>
      </c>
      <c r="G235" s="284" t="e">
        <f t="shared" si="158"/>
        <v>#VALUE!</v>
      </c>
      <c r="H235" s="284">
        <f>(((((((((((((((((((((((H114)+(H130))+(H134))+(H143))+(H146))+(H152))+(H157))+(H164))+(H168))+(H175))+(H178))+(H182))+(H186))+(H190))+(H195))+(H198))+(H201))+(H204))+(H208))+(H211))+(H218))+(H222))+(H230))+(H234)</f>
        <v>3553928.4783039754</v>
      </c>
      <c r="I235" s="285">
        <f>F235/H235</f>
        <v>0.61346171238663938</v>
      </c>
      <c r="J235" s="285"/>
      <c r="K235" s="284">
        <f>H235-F235</f>
        <v>1373729.4283039751</v>
      </c>
      <c r="L235" s="306"/>
      <c r="M235" s="371" t="e">
        <f t="shared" si="158"/>
        <v>#VALUE!</v>
      </c>
      <c r="N235" s="304" t="e">
        <f t="shared" si="158"/>
        <v>#VALUE!</v>
      </c>
      <c r="O235" s="304" t="e">
        <f t="shared" si="158"/>
        <v>#VALUE!</v>
      </c>
      <c r="P235" s="304" t="e">
        <f t="shared" si="158"/>
        <v>#VALUE!</v>
      </c>
      <c r="Q235" s="304" t="e">
        <f t="shared" si="158"/>
        <v>#VALUE!</v>
      </c>
      <c r="R235" s="304"/>
      <c r="S235" s="305"/>
      <c r="AA235" s="398">
        <f>SUM(AA115:AA234)</f>
        <v>41400</v>
      </c>
    </row>
    <row r="236" spans="2:28" x14ac:dyDescent="0.75">
      <c r="B236" s="372" t="s">
        <v>97</v>
      </c>
      <c r="C236" s="373" t="e">
        <f t="shared" ref="C236:H236" si="159">(C58)-(C235)</f>
        <v>#REF!</v>
      </c>
      <c r="D236" s="373">
        <f t="shared" si="159"/>
        <v>413161.24000000011</v>
      </c>
      <c r="E236" s="373" t="e">
        <f t="shared" si="159"/>
        <v>#REF!</v>
      </c>
      <c r="F236" s="373">
        <f t="shared" si="159"/>
        <v>-211085.33000000031</v>
      </c>
      <c r="G236" s="374" t="e">
        <f t="shared" si="159"/>
        <v>#VALUE!</v>
      </c>
      <c r="H236" s="374">
        <f t="shared" si="159"/>
        <v>-527698.67830397515</v>
      </c>
      <c r="I236" s="375">
        <f>F236/H236</f>
        <v>0.40001110231776416</v>
      </c>
      <c r="J236" s="375"/>
      <c r="K236" s="374">
        <f>(K58)-(K235)</f>
        <v>-303729.3483039753</v>
      </c>
      <c r="L236" s="376"/>
      <c r="M236" s="377" t="e">
        <f>(M58)-(M235)</f>
        <v>#VALUE!</v>
      </c>
      <c r="N236" s="378" t="e">
        <f>(N58)-(N235)</f>
        <v>#VALUE!</v>
      </c>
      <c r="O236" s="378" t="e">
        <f>(O58)-(O235)</f>
        <v>#VALUE!</v>
      </c>
      <c r="P236" s="378" t="e">
        <f>(P58)-(P235)</f>
        <v>#VALUE!</v>
      </c>
      <c r="Q236" s="378" t="e">
        <f>(Q58)-(Q235)</f>
        <v>#VALUE!</v>
      </c>
      <c r="R236" s="378"/>
      <c r="S236" s="379"/>
    </row>
    <row r="237" spans="2:28" x14ac:dyDescent="0.75">
      <c r="B237" s="272"/>
      <c r="C237" s="380"/>
      <c r="D237" s="380"/>
      <c r="E237" s="381"/>
      <c r="F237" s="508"/>
      <c r="G237" s="509"/>
      <c r="H237" s="653"/>
      <c r="I237" s="510"/>
      <c r="J237" s="510"/>
      <c r="K237" s="509"/>
      <c r="L237" s="382"/>
      <c r="M237" s="271"/>
      <c r="N237" s="272"/>
      <c r="O237" s="272"/>
      <c r="P237" s="272"/>
      <c r="Q237" s="272"/>
      <c r="R237" s="272"/>
      <c r="S237" s="272"/>
    </row>
    <row r="238" spans="2:28" x14ac:dyDescent="0.75">
      <c r="B238" s="166" t="s">
        <v>634</v>
      </c>
      <c r="C238" s="380"/>
      <c r="D238" s="380"/>
      <c r="E238" s="381"/>
      <c r="F238" s="508"/>
      <c r="G238" s="509"/>
      <c r="H238" s="653"/>
      <c r="I238" s="510"/>
      <c r="J238" s="510"/>
      <c r="K238" s="509"/>
      <c r="L238" s="382"/>
      <c r="M238" s="271"/>
      <c r="N238" s="272"/>
      <c r="O238" s="272"/>
      <c r="P238" s="272"/>
      <c r="Q238" s="272"/>
      <c r="R238" s="272"/>
      <c r="S238" s="272"/>
      <c r="U238" s="383" t="s">
        <v>635</v>
      </c>
      <c r="W238" s="383" t="s">
        <v>636</v>
      </c>
      <c r="X238" s="383" t="s">
        <v>637</v>
      </c>
    </row>
    <row r="239" spans="2:28" x14ac:dyDescent="0.75">
      <c r="B239" s="166" t="s">
        <v>638</v>
      </c>
      <c r="C239" s="320">
        <v>25000</v>
      </c>
      <c r="D239" s="320">
        <v>0</v>
      </c>
      <c r="E239" s="321">
        <v>4000</v>
      </c>
      <c r="F239" s="275"/>
      <c r="G239" s="321"/>
      <c r="H239" s="654"/>
      <c r="I239" s="298"/>
      <c r="J239" s="298"/>
      <c r="K239" s="511"/>
      <c r="L239" s="323"/>
      <c r="M239" s="384">
        <f>G239</f>
        <v>0</v>
      </c>
      <c r="N239" s="341"/>
      <c r="O239" s="341"/>
      <c r="P239" s="341"/>
      <c r="Q239" s="341"/>
      <c r="R239" s="341"/>
      <c r="S239" s="341" t="s">
        <v>898</v>
      </c>
      <c r="U239" s="149" t="s">
        <v>639</v>
      </c>
      <c r="V239" s="149">
        <v>7</v>
      </c>
      <c r="W239" s="140">
        <f t="shared" ref="W239:W244" si="160">C239/$V239</f>
        <v>3571.4285714285716</v>
      </c>
      <c r="X239" s="140">
        <f t="shared" ref="X239:X244" si="161">G239/$V239</f>
        <v>0</v>
      </c>
    </row>
    <row r="240" spans="2:28" x14ac:dyDescent="0.75">
      <c r="B240" s="166" t="s">
        <v>640</v>
      </c>
      <c r="C240" s="320">
        <v>19442.5</v>
      </c>
      <c r="D240" s="320">
        <v>10554.62</v>
      </c>
      <c r="E240" s="321">
        <v>8000</v>
      </c>
      <c r="F240" s="275">
        <f>'Transaction Report'!G14-'Transaction Report'!H14</f>
        <v>4379.5</v>
      </c>
      <c r="G240" s="321">
        <v>19119</v>
      </c>
      <c r="H240" s="654">
        <v>3084</v>
      </c>
      <c r="I240" s="298">
        <f>F240/H240</f>
        <v>1.4200713359273671</v>
      </c>
      <c r="J240" s="298"/>
      <c r="K240" s="537">
        <f>H240-F240</f>
        <v>-1295.5</v>
      </c>
      <c r="L240" s="323"/>
      <c r="M240" s="384">
        <f t="shared" ref="M240:M256" si="162">G240</f>
        <v>19119</v>
      </c>
      <c r="N240" s="341"/>
      <c r="O240" s="341"/>
      <c r="P240" s="341"/>
      <c r="Q240" s="341"/>
      <c r="R240" s="341"/>
      <c r="S240" s="341" t="s">
        <v>899</v>
      </c>
      <c r="U240" s="149" t="s">
        <v>639</v>
      </c>
      <c r="V240" s="149">
        <v>7</v>
      </c>
      <c r="W240" s="140">
        <f t="shared" si="160"/>
        <v>2777.5</v>
      </c>
      <c r="X240" s="140">
        <f t="shared" si="161"/>
        <v>2731.2857142857142</v>
      </c>
    </row>
    <row r="241" spans="2:24" x14ac:dyDescent="0.75">
      <c r="B241" s="166" t="s">
        <v>766</v>
      </c>
      <c r="C241" s="320">
        <v>4627.5</v>
      </c>
      <c r="D241" s="320">
        <v>0</v>
      </c>
      <c r="E241" s="321">
        <v>11000</v>
      </c>
      <c r="F241" s="275"/>
      <c r="G241" s="321"/>
      <c r="H241" s="654">
        <v>5545</v>
      </c>
      <c r="I241" s="298">
        <f t="shared" ref="I241:I256" si="163">F241/H241</f>
        <v>0</v>
      </c>
      <c r="J241" s="298"/>
      <c r="K241" s="537">
        <f t="shared" ref="K241:K256" si="164">H241-F241</f>
        <v>5545</v>
      </c>
      <c r="L241" s="323"/>
      <c r="M241" s="384">
        <f t="shared" si="162"/>
        <v>0</v>
      </c>
      <c r="N241" s="341"/>
      <c r="O241" s="341"/>
      <c r="P241" s="341"/>
      <c r="Q241" s="341"/>
      <c r="R241" s="341"/>
      <c r="S241" s="341" t="s">
        <v>900</v>
      </c>
      <c r="T241" s="385"/>
      <c r="U241" s="149" t="s">
        <v>641</v>
      </c>
      <c r="V241" s="149">
        <v>3</v>
      </c>
      <c r="W241" s="140">
        <f t="shared" si="160"/>
        <v>1542.5</v>
      </c>
      <c r="X241" s="140">
        <f t="shared" si="161"/>
        <v>0</v>
      </c>
    </row>
    <row r="242" spans="2:24" x14ac:dyDescent="0.75">
      <c r="B242" s="166" t="s">
        <v>767</v>
      </c>
      <c r="C242" s="320">
        <v>75000</v>
      </c>
      <c r="D242" s="320">
        <v>11010.5</v>
      </c>
      <c r="E242" s="321">
        <v>35000</v>
      </c>
      <c r="F242" s="275">
        <f>'Transaction Report'!G29</f>
        <v>27291.57</v>
      </c>
      <c r="G242" s="321">
        <v>57142</v>
      </c>
      <c r="H242" s="654">
        <v>134876</v>
      </c>
      <c r="I242" s="298">
        <f t="shared" si="163"/>
        <v>0.20234563599157745</v>
      </c>
      <c r="J242" s="298"/>
      <c r="K242" s="537">
        <f t="shared" si="164"/>
        <v>107584.43</v>
      </c>
      <c r="L242" s="323"/>
      <c r="M242" s="384">
        <f t="shared" si="162"/>
        <v>57142</v>
      </c>
      <c r="N242" s="341"/>
      <c r="O242" s="341"/>
      <c r="P242" s="341"/>
      <c r="Q242" s="341"/>
      <c r="R242" s="341"/>
      <c r="S242" s="341" t="s">
        <v>901</v>
      </c>
      <c r="U242" s="149" t="s">
        <v>641</v>
      </c>
      <c r="V242" s="149">
        <v>3</v>
      </c>
      <c r="W242" s="140">
        <f t="shared" si="160"/>
        <v>25000</v>
      </c>
      <c r="X242" s="140">
        <f t="shared" si="161"/>
        <v>19047.333333333332</v>
      </c>
    </row>
    <row r="243" spans="2:24" x14ac:dyDescent="0.75">
      <c r="B243" s="166" t="s">
        <v>642</v>
      </c>
      <c r="C243" s="320">
        <v>6322.5</v>
      </c>
      <c r="D243" s="320">
        <v>6110</v>
      </c>
      <c r="E243" s="321">
        <v>8000</v>
      </c>
      <c r="F243" s="275">
        <f>'Transaction Report'!G44</f>
        <v>12645</v>
      </c>
      <c r="G243" s="321">
        <v>34950</v>
      </c>
      <c r="H243" s="654">
        <v>9523</v>
      </c>
      <c r="I243" s="298">
        <f t="shared" si="163"/>
        <v>1.3278378662186285</v>
      </c>
      <c r="J243" s="298"/>
      <c r="K243" s="537">
        <f t="shared" si="164"/>
        <v>-3122</v>
      </c>
      <c r="L243" s="323"/>
      <c r="M243" s="384">
        <f t="shared" si="162"/>
        <v>34950</v>
      </c>
      <c r="N243" s="341"/>
      <c r="O243" s="341"/>
      <c r="P243" s="341"/>
      <c r="Q243" s="341"/>
      <c r="R243" s="341"/>
      <c r="S243" s="341" t="s">
        <v>902</v>
      </c>
      <c r="U243" s="149" t="s">
        <v>641</v>
      </c>
      <c r="V243" s="149">
        <v>3</v>
      </c>
      <c r="W243" s="140">
        <f t="shared" si="160"/>
        <v>2107.5</v>
      </c>
      <c r="X243" s="140">
        <f t="shared" si="161"/>
        <v>11650</v>
      </c>
    </row>
    <row r="244" spans="2:24" x14ac:dyDescent="0.75">
      <c r="B244" s="166" t="s">
        <v>643</v>
      </c>
      <c r="C244" s="320">
        <v>18586</v>
      </c>
      <c r="D244" s="320">
        <v>0</v>
      </c>
      <c r="E244" s="321">
        <v>8040</v>
      </c>
      <c r="F244" s="275">
        <f>'Transaction Report'!G47</f>
        <v>18219.150000000001</v>
      </c>
      <c r="G244" s="321">
        <v>21290</v>
      </c>
      <c r="H244" s="654">
        <v>23551</v>
      </c>
      <c r="I244" s="298">
        <f t="shared" si="163"/>
        <v>0.77360409324444823</v>
      </c>
      <c r="J244" s="298"/>
      <c r="K244" s="537">
        <f t="shared" si="164"/>
        <v>5331.8499999999985</v>
      </c>
      <c r="L244" s="323"/>
      <c r="M244" s="384">
        <f t="shared" si="162"/>
        <v>21290</v>
      </c>
      <c r="N244" s="341"/>
      <c r="O244" s="341"/>
      <c r="P244" s="341"/>
      <c r="Q244" s="341"/>
      <c r="R244" s="341"/>
      <c r="S244" s="341" t="s">
        <v>903</v>
      </c>
      <c r="U244" s="149" t="s">
        <v>641</v>
      </c>
      <c r="V244" s="149">
        <v>3</v>
      </c>
      <c r="W244" s="140">
        <f t="shared" si="160"/>
        <v>6195.333333333333</v>
      </c>
      <c r="X244" s="140">
        <f t="shared" si="161"/>
        <v>7096.666666666667</v>
      </c>
    </row>
    <row r="245" spans="2:24" x14ac:dyDescent="0.75">
      <c r="B245" s="166" t="s">
        <v>644</v>
      </c>
      <c r="C245" s="320"/>
      <c r="D245" s="320">
        <v>282.5</v>
      </c>
      <c r="E245" s="321"/>
      <c r="F245" s="275">
        <f>'Transaction Report'!G50</f>
        <v>1705</v>
      </c>
      <c r="G245" s="321">
        <v>2000</v>
      </c>
      <c r="H245" s="654">
        <v>1988</v>
      </c>
      <c r="I245" s="298">
        <f t="shared" si="163"/>
        <v>0.85764587525150904</v>
      </c>
      <c r="J245" s="298"/>
      <c r="K245" s="537">
        <f t="shared" si="164"/>
        <v>283</v>
      </c>
      <c r="L245" s="323"/>
      <c r="M245" s="384"/>
      <c r="N245" s="341"/>
      <c r="O245" s="341"/>
      <c r="P245" s="341"/>
      <c r="Q245" s="341"/>
      <c r="R245" s="341"/>
      <c r="S245" s="341" t="s">
        <v>904</v>
      </c>
      <c r="W245" s="140"/>
      <c r="X245" s="140"/>
    </row>
    <row r="246" spans="2:24" x14ac:dyDescent="0.75">
      <c r="B246" s="166" t="s">
        <v>645</v>
      </c>
      <c r="C246" s="320"/>
      <c r="D246" s="320">
        <v>3705</v>
      </c>
      <c r="E246" s="321"/>
      <c r="F246" s="275">
        <f>'Transaction Report'!G55</f>
        <v>9410</v>
      </c>
      <c r="G246" s="321">
        <v>10332</v>
      </c>
      <c r="H246" s="654">
        <v>26000</v>
      </c>
      <c r="I246" s="298">
        <f t="shared" si="163"/>
        <v>0.3619230769230769</v>
      </c>
      <c r="J246" s="298"/>
      <c r="K246" s="537">
        <f t="shared" si="164"/>
        <v>16590</v>
      </c>
      <c r="L246" s="323"/>
      <c r="M246" s="384"/>
      <c r="N246" s="341"/>
      <c r="O246" s="341"/>
      <c r="P246" s="341"/>
      <c r="Q246" s="341"/>
      <c r="R246" s="341"/>
      <c r="S246" s="341" t="s">
        <v>905</v>
      </c>
      <c r="W246" s="140"/>
      <c r="X246" s="140"/>
    </row>
    <row r="247" spans="2:24" x14ac:dyDescent="0.75">
      <c r="B247" s="166" t="s">
        <v>646</v>
      </c>
      <c r="C247" s="320"/>
      <c r="D247" s="320">
        <v>0</v>
      </c>
      <c r="E247" s="321"/>
      <c r="F247" s="275">
        <f>'Transaction Report'!G58</f>
        <v>9245</v>
      </c>
      <c r="G247" s="321">
        <v>9245</v>
      </c>
      <c r="H247" s="654">
        <v>17245</v>
      </c>
      <c r="I247" s="298">
        <f t="shared" si="163"/>
        <v>0.53609741954189616</v>
      </c>
      <c r="J247" s="298"/>
      <c r="K247" s="537">
        <f t="shared" si="164"/>
        <v>8000</v>
      </c>
      <c r="L247" s="323"/>
      <c r="M247" s="384"/>
      <c r="N247" s="341"/>
      <c r="O247" s="341"/>
      <c r="P247" s="341"/>
      <c r="Q247" s="341"/>
      <c r="R247" s="341"/>
      <c r="S247" s="341" t="s">
        <v>906</v>
      </c>
      <c r="W247" s="140"/>
      <c r="X247" s="140"/>
    </row>
    <row r="248" spans="2:24" x14ac:dyDescent="0.75">
      <c r="B248" s="166" t="s">
        <v>647</v>
      </c>
      <c r="C248" s="320"/>
      <c r="D248" s="320">
        <v>0</v>
      </c>
      <c r="E248" s="321"/>
      <c r="F248" s="275"/>
      <c r="G248" s="321"/>
      <c r="H248" s="654">
        <v>0</v>
      </c>
      <c r="I248" s="298"/>
      <c r="J248" s="298"/>
      <c r="K248" s="537">
        <f t="shared" si="164"/>
        <v>0</v>
      </c>
      <c r="L248" s="323"/>
      <c r="M248" s="384"/>
      <c r="N248" s="341"/>
      <c r="O248" s="341"/>
      <c r="P248" s="341"/>
      <c r="Q248" s="341"/>
      <c r="R248" s="341"/>
      <c r="S248" s="341" t="s">
        <v>907</v>
      </c>
      <c r="W248" s="140"/>
      <c r="X248" s="140"/>
    </row>
    <row r="249" spans="2:24" x14ac:dyDescent="0.75">
      <c r="B249" s="166" t="s">
        <v>648</v>
      </c>
      <c r="C249" s="320"/>
      <c r="D249" s="320">
        <v>0</v>
      </c>
      <c r="E249" s="321"/>
      <c r="F249" s="275"/>
      <c r="G249" s="321"/>
      <c r="H249" s="654">
        <v>0</v>
      </c>
      <c r="I249" s="298"/>
      <c r="J249" s="298"/>
      <c r="K249" s="537">
        <f t="shared" si="164"/>
        <v>0</v>
      </c>
      <c r="L249" s="323"/>
      <c r="M249" s="384"/>
      <c r="N249" s="341"/>
      <c r="O249" s="341"/>
      <c r="P249" s="341"/>
      <c r="Q249" s="341"/>
      <c r="R249" s="341"/>
      <c r="S249" s="341" t="s">
        <v>908</v>
      </c>
      <c r="W249" s="140"/>
      <c r="X249" s="140"/>
    </row>
    <row r="250" spans="2:24" x14ac:dyDescent="0.75">
      <c r="B250" s="166" t="s">
        <v>649</v>
      </c>
      <c r="C250" s="320"/>
      <c r="D250" s="320">
        <v>10985</v>
      </c>
      <c r="E250" s="321"/>
      <c r="F250" s="275">
        <f>'Transaction Report'!G65-'Transaction Report'!H65</f>
        <v>-77.5</v>
      </c>
      <c r="G250" s="321">
        <v>10715</v>
      </c>
      <c r="H250" s="654">
        <v>20025</v>
      </c>
      <c r="I250" s="298">
        <f t="shared" si="163"/>
        <v>-3.8701622971285894E-3</v>
      </c>
      <c r="J250" s="298"/>
      <c r="K250" s="537">
        <f t="shared" si="164"/>
        <v>20102.5</v>
      </c>
      <c r="L250" s="323"/>
      <c r="M250" s="384"/>
      <c r="N250" s="341"/>
      <c r="O250" s="341"/>
      <c r="P250" s="341"/>
      <c r="Q250" s="341"/>
      <c r="R250" s="341"/>
      <c r="S250" s="341" t="s">
        <v>909</v>
      </c>
      <c r="W250" s="140"/>
      <c r="X250" s="140"/>
    </row>
    <row r="251" spans="2:24" x14ac:dyDescent="0.75">
      <c r="B251" s="166" t="s">
        <v>650</v>
      </c>
      <c r="C251" s="320"/>
      <c r="D251" s="320">
        <v>0</v>
      </c>
      <c r="E251" s="321"/>
      <c r="F251" s="275">
        <f>'Transaction Report'!G69</f>
        <v>13738</v>
      </c>
      <c r="G251" s="321">
        <v>13738</v>
      </c>
      <c r="H251" s="654">
        <v>13738</v>
      </c>
      <c r="I251" s="298">
        <f t="shared" si="163"/>
        <v>1</v>
      </c>
      <c r="J251" s="298"/>
      <c r="K251" s="537">
        <f t="shared" si="164"/>
        <v>0</v>
      </c>
      <c r="L251" s="323"/>
      <c r="M251" s="384"/>
      <c r="N251" s="341"/>
      <c r="O251" s="341"/>
      <c r="P251" s="341"/>
      <c r="Q251" s="341"/>
      <c r="R251" s="341"/>
      <c r="S251" s="341" t="s">
        <v>910</v>
      </c>
      <c r="W251" s="140"/>
      <c r="X251" s="140"/>
    </row>
    <row r="252" spans="2:24" x14ac:dyDescent="0.75">
      <c r="B252" s="166" t="s">
        <v>651</v>
      </c>
      <c r="C252" s="320"/>
      <c r="D252" s="320">
        <v>0</v>
      </c>
      <c r="E252" s="321"/>
      <c r="F252" s="275"/>
      <c r="G252" s="321">
        <v>9676</v>
      </c>
      <c r="H252" s="654">
        <v>0</v>
      </c>
      <c r="I252" s="298"/>
      <c r="J252" s="298"/>
      <c r="K252" s="537">
        <f t="shared" si="164"/>
        <v>0</v>
      </c>
      <c r="L252" s="323"/>
      <c r="M252" s="384"/>
      <c r="N252" s="341"/>
      <c r="O252" s="341"/>
      <c r="P252" s="341"/>
      <c r="Q252" s="341"/>
      <c r="R252" s="341"/>
      <c r="S252" s="341">
        <v>0</v>
      </c>
      <c r="W252" s="140"/>
      <c r="X252" s="140"/>
    </row>
    <row r="253" spans="2:24" x14ac:dyDescent="0.75">
      <c r="B253" s="166" t="s">
        <v>652</v>
      </c>
      <c r="C253" s="320"/>
      <c r="D253" s="320">
        <v>0</v>
      </c>
      <c r="E253" s="321"/>
      <c r="F253" s="275"/>
      <c r="G253" s="321">
        <v>11000</v>
      </c>
      <c r="H253" s="654">
        <v>0</v>
      </c>
      <c r="I253" s="298"/>
      <c r="J253" s="298"/>
      <c r="K253" s="537">
        <f t="shared" si="164"/>
        <v>0</v>
      </c>
      <c r="L253" s="323"/>
      <c r="M253" s="384"/>
      <c r="N253" s="341"/>
      <c r="O253" s="341"/>
      <c r="P253" s="341"/>
      <c r="Q253" s="341"/>
      <c r="R253" s="341"/>
      <c r="S253" s="341" t="s">
        <v>911</v>
      </c>
      <c r="W253" s="140"/>
      <c r="X253" s="140"/>
    </row>
    <row r="254" spans="2:24" x14ac:dyDescent="0.75">
      <c r="B254" s="166" t="s">
        <v>653</v>
      </c>
      <c r="C254" s="320"/>
      <c r="D254" s="320">
        <v>0</v>
      </c>
      <c r="E254" s="321"/>
      <c r="F254" s="275">
        <f>'Transaction Report'!G72</f>
        <v>15615</v>
      </c>
      <c r="G254" s="321">
        <v>24000</v>
      </c>
      <c r="H254" s="654">
        <v>4000</v>
      </c>
      <c r="I254" s="298">
        <f t="shared" si="163"/>
        <v>3.9037500000000001</v>
      </c>
      <c r="J254" s="298"/>
      <c r="K254" s="537">
        <f t="shared" si="164"/>
        <v>-11615</v>
      </c>
      <c r="L254" s="323"/>
      <c r="M254" s="384"/>
      <c r="N254" s="341"/>
      <c r="O254" s="341"/>
      <c r="P254" s="341"/>
      <c r="Q254" s="341"/>
      <c r="R254" s="341"/>
      <c r="S254" s="341" t="s">
        <v>912</v>
      </c>
      <c r="W254" s="140"/>
      <c r="X254" s="140"/>
    </row>
    <row r="255" spans="2:24" x14ac:dyDescent="0.75">
      <c r="B255" s="166" t="s">
        <v>654</v>
      </c>
      <c r="C255" s="320"/>
      <c r="D255" s="320">
        <v>0</v>
      </c>
      <c r="E255" s="321"/>
      <c r="F255" s="275">
        <f>'Transaction Report'!G85</f>
        <v>99375</v>
      </c>
      <c r="G255" s="321"/>
      <c r="H255" s="654">
        <v>108000</v>
      </c>
      <c r="I255" s="298">
        <f t="shared" si="163"/>
        <v>0.92013888888888884</v>
      </c>
      <c r="J255" s="298"/>
      <c r="K255" s="537">
        <f t="shared" si="164"/>
        <v>8625</v>
      </c>
      <c r="L255" s="323"/>
      <c r="M255" s="384"/>
      <c r="N255" s="341"/>
      <c r="O255" s="341"/>
      <c r="P255" s="341"/>
      <c r="Q255" s="341"/>
      <c r="R255" s="341"/>
      <c r="S255" s="341" t="s">
        <v>913</v>
      </c>
      <c r="W255" s="140"/>
      <c r="X255" s="140"/>
    </row>
    <row r="256" spans="2:24" x14ac:dyDescent="0.75">
      <c r="B256" s="166" t="s">
        <v>655</v>
      </c>
      <c r="C256" s="320">
        <v>60000</v>
      </c>
      <c r="D256" s="320">
        <v>0</v>
      </c>
      <c r="E256" s="321">
        <v>10000</v>
      </c>
      <c r="F256" s="275"/>
      <c r="G256" s="321"/>
      <c r="H256" s="654">
        <v>25000</v>
      </c>
      <c r="I256" s="298">
        <f t="shared" si="163"/>
        <v>0</v>
      </c>
      <c r="J256" s="298"/>
      <c r="K256" s="537">
        <f t="shared" si="164"/>
        <v>25000</v>
      </c>
      <c r="L256" s="323"/>
      <c r="M256" s="384">
        <f t="shared" si="162"/>
        <v>0</v>
      </c>
      <c r="N256" s="341"/>
      <c r="O256" s="341"/>
      <c r="P256" s="341"/>
      <c r="Q256" s="341"/>
      <c r="R256" s="341"/>
      <c r="S256" s="341" t="s">
        <v>914</v>
      </c>
      <c r="U256" s="149" t="s">
        <v>656</v>
      </c>
      <c r="V256" s="149">
        <v>15</v>
      </c>
      <c r="W256" s="140">
        <f>C256/$V256</f>
        <v>4000</v>
      </c>
      <c r="X256" s="140">
        <f>G256/$V256</f>
        <v>0</v>
      </c>
    </row>
    <row r="257" spans="2:19" x14ac:dyDescent="0.75">
      <c r="B257" s="282" t="s">
        <v>657</v>
      </c>
      <c r="C257" s="283">
        <f t="shared" ref="C257:Q257" si="165">SUM(C239:C256)</f>
        <v>208978.5</v>
      </c>
      <c r="D257" s="283">
        <f t="shared" si="165"/>
        <v>42647.62</v>
      </c>
      <c r="E257" s="283">
        <f t="shared" si="165"/>
        <v>84040</v>
      </c>
      <c r="F257" s="512">
        <f t="shared" si="165"/>
        <v>211545.72</v>
      </c>
      <c r="G257" s="513">
        <f t="shared" si="165"/>
        <v>223207</v>
      </c>
      <c r="H257" s="513">
        <f>SUM(H239:H256)-1</f>
        <v>392574</v>
      </c>
      <c r="I257" s="285">
        <f t="shared" ref="I257" si="166">F257/G257</f>
        <v>0.94775576034801778</v>
      </c>
      <c r="J257" s="285"/>
      <c r="K257" s="513">
        <f t="shared" si="165"/>
        <v>181029.28</v>
      </c>
      <c r="L257" s="286"/>
      <c r="M257" s="287">
        <f t="shared" si="165"/>
        <v>132501</v>
      </c>
      <c r="N257" s="171">
        <f t="shared" si="165"/>
        <v>0</v>
      </c>
      <c r="O257" s="171">
        <f t="shared" si="165"/>
        <v>0</v>
      </c>
      <c r="P257" s="171">
        <f t="shared" si="165"/>
        <v>0</v>
      </c>
      <c r="Q257" s="171">
        <f t="shared" si="165"/>
        <v>0</v>
      </c>
      <c r="R257" s="171"/>
      <c r="S257" s="288"/>
    </row>
    <row r="258" spans="2:19" x14ac:dyDescent="0.75">
      <c r="B258" s="272"/>
      <c r="C258" s="314"/>
      <c r="D258" s="314"/>
      <c r="E258" s="371"/>
      <c r="F258" s="514"/>
      <c r="G258" s="515"/>
      <c r="H258" s="655"/>
      <c r="I258" s="516"/>
      <c r="J258" s="516"/>
      <c r="K258" s="515"/>
      <c r="L258" s="386"/>
      <c r="M258" s="271"/>
      <c r="N258" s="272"/>
      <c r="O258" s="272"/>
      <c r="P258" s="272"/>
      <c r="Q258" s="272"/>
      <c r="R258" s="272"/>
      <c r="S258" s="272"/>
    </row>
    <row r="259" spans="2:19" x14ac:dyDescent="0.75">
      <c r="B259" s="387" t="s">
        <v>658</v>
      </c>
      <c r="C259" s="388" t="e">
        <f t="shared" ref="C259:Q259" si="167">C236</f>
        <v>#REF!</v>
      </c>
      <c r="D259" s="388">
        <f t="shared" si="167"/>
        <v>413161.24000000011</v>
      </c>
      <c r="E259" s="310" t="e">
        <f t="shared" si="167"/>
        <v>#REF!</v>
      </c>
      <c r="F259" s="517">
        <f t="shared" si="167"/>
        <v>-211085.33000000031</v>
      </c>
      <c r="G259" s="518" t="e">
        <f t="shared" si="167"/>
        <v>#VALUE!</v>
      </c>
      <c r="H259" s="656">
        <f t="shared" si="167"/>
        <v>-527698.67830397515</v>
      </c>
      <c r="I259" s="519"/>
      <c r="J259" s="519"/>
      <c r="K259" s="518">
        <f t="shared" ref="K259" si="168">K236</f>
        <v>-303729.3483039753</v>
      </c>
      <c r="L259" s="313"/>
      <c r="M259" s="364" t="e">
        <f t="shared" si="167"/>
        <v>#VALUE!</v>
      </c>
      <c r="N259" s="389" t="e">
        <f t="shared" si="167"/>
        <v>#VALUE!</v>
      </c>
      <c r="O259" s="389" t="e">
        <f t="shared" si="167"/>
        <v>#VALUE!</v>
      </c>
      <c r="P259" s="389" t="e">
        <f t="shared" si="167"/>
        <v>#VALUE!</v>
      </c>
      <c r="Q259" s="389" t="e">
        <f t="shared" si="167"/>
        <v>#VALUE!</v>
      </c>
      <c r="R259" s="389"/>
      <c r="S259" s="390"/>
    </row>
    <row r="260" spans="2:19" x14ac:dyDescent="0.75">
      <c r="B260" s="387" t="s">
        <v>659</v>
      </c>
      <c r="C260" s="388">
        <f t="shared" ref="C260:G260" si="169">C257</f>
        <v>208978.5</v>
      </c>
      <c r="D260" s="388">
        <f t="shared" si="169"/>
        <v>42647.62</v>
      </c>
      <c r="E260" s="310">
        <f t="shared" si="169"/>
        <v>84040</v>
      </c>
      <c r="F260" s="517">
        <f t="shared" si="169"/>
        <v>211545.72</v>
      </c>
      <c r="G260" s="518">
        <f t="shared" si="169"/>
        <v>223207</v>
      </c>
      <c r="H260" s="656">
        <f>H257</f>
        <v>392574</v>
      </c>
      <c r="I260" s="519"/>
      <c r="J260" s="519"/>
      <c r="K260" s="518">
        <f>K257</f>
        <v>181029.28</v>
      </c>
      <c r="L260" s="313"/>
      <c r="M260" s="364">
        <f t="shared" ref="M260:Q260" si="170">M257</f>
        <v>132501</v>
      </c>
      <c r="N260" s="389">
        <f t="shared" si="170"/>
        <v>0</v>
      </c>
      <c r="O260" s="389">
        <f t="shared" si="170"/>
        <v>0</v>
      </c>
      <c r="P260" s="389">
        <f t="shared" si="170"/>
        <v>0</v>
      </c>
      <c r="Q260" s="389">
        <f t="shared" si="170"/>
        <v>0</v>
      </c>
      <c r="R260" s="389"/>
      <c r="S260" s="390"/>
    </row>
    <row r="261" spans="2:19" x14ac:dyDescent="0.75">
      <c r="B261" s="387" t="s">
        <v>660</v>
      </c>
      <c r="C261" s="388">
        <v>93750</v>
      </c>
      <c r="D261" s="388">
        <v>93750</v>
      </c>
      <c r="E261" s="310"/>
      <c r="F261" s="517"/>
      <c r="G261" s="518"/>
      <c r="H261" s="656"/>
      <c r="I261" s="519"/>
      <c r="J261" s="519"/>
      <c r="K261" s="518"/>
      <c r="L261" s="313"/>
      <c r="M261" s="364"/>
      <c r="N261" s="389"/>
      <c r="O261" s="389"/>
      <c r="P261" s="389"/>
      <c r="Q261" s="389"/>
      <c r="R261" s="389"/>
      <c r="S261" s="390"/>
    </row>
    <row r="262" spans="2:19" x14ac:dyDescent="0.75">
      <c r="B262" s="387" t="s">
        <v>661</v>
      </c>
      <c r="C262" s="389"/>
      <c r="D262" s="389"/>
      <c r="E262" s="310">
        <v>20000</v>
      </c>
      <c r="F262" s="517">
        <v>20000</v>
      </c>
      <c r="G262" s="518">
        <v>20000</v>
      </c>
      <c r="H262" s="656">
        <v>20000</v>
      </c>
      <c r="I262" s="519"/>
      <c r="J262" s="519"/>
      <c r="K262" s="518">
        <f t="shared" ref="K262" si="171">G262-F262</f>
        <v>0</v>
      </c>
      <c r="L262" s="313"/>
      <c r="M262" s="364">
        <v>20000</v>
      </c>
      <c r="N262" s="389">
        <v>20000</v>
      </c>
      <c r="O262" s="389">
        <v>20000</v>
      </c>
      <c r="P262" s="389">
        <v>20000</v>
      </c>
      <c r="Q262" s="389">
        <v>20000</v>
      </c>
      <c r="R262" s="389"/>
      <c r="S262" s="390" t="s">
        <v>662</v>
      </c>
    </row>
    <row r="263" spans="2:19" x14ac:dyDescent="0.75">
      <c r="B263" s="387" t="s">
        <v>663</v>
      </c>
      <c r="C263" s="389"/>
      <c r="D263" s="389"/>
      <c r="E263" s="310">
        <f t="shared" ref="E263" si="172">E232</f>
        <v>51768.07142857142</v>
      </c>
      <c r="F263" s="657">
        <f>F232</f>
        <v>23209</v>
      </c>
      <c r="G263" s="518">
        <f t="shared" ref="G263:Q263" si="173">G232</f>
        <v>85719.547619047618</v>
      </c>
      <c r="H263" s="656">
        <f t="shared" si="173"/>
        <v>85719.547619047618</v>
      </c>
      <c r="I263" s="519"/>
      <c r="J263" s="519"/>
      <c r="K263" s="518">
        <f t="shared" ref="K263" si="174">K232</f>
        <v>62510.547619047618</v>
      </c>
      <c r="L263" s="313"/>
      <c r="M263" s="364">
        <f t="shared" si="173"/>
        <v>85719.547619047618</v>
      </c>
      <c r="N263" s="389">
        <f t="shared" si="173"/>
        <v>0</v>
      </c>
      <c r="O263" s="389">
        <f t="shared" si="173"/>
        <v>0</v>
      </c>
      <c r="P263" s="389">
        <f t="shared" si="173"/>
        <v>0</v>
      </c>
      <c r="Q263" s="389">
        <f t="shared" si="173"/>
        <v>0</v>
      </c>
      <c r="R263" s="389"/>
      <c r="S263" s="390" t="s">
        <v>633</v>
      </c>
    </row>
    <row r="264" spans="2:19" x14ac:dyDescent="0.75">
      <c r="B264" s="387" t="s">
        <v>664</v>
      </c>
      <c r="C264" s="389"/>
      <c r="D264" s="389"/>
      <c r="E264" s="310">
        <f t="shared" ref="E264:Q264" si="175">E229</f>
        <v>925938.20863992791</v>
      </c>
      <c r="F264" s="517">
        <f t="shared" si="175"/>
        <v>617292.16</v>
      </c>
      <c r="G264" s="518">
        <f t="shared" si="175"/>
        <v>925938.20863992791</v>
      </c>
      <c r="H264" s="656">
        <f t="shared" si="175"/>
        <v>925938.20863992791</v>
      </c>
      <c r="I264" s="519"/>
      <c r="J264" s="519"/>
      <c r="K264" s="518">
        <f t="shared" ref="K264" si="176">K229</f>
        <v>308646.04863992787</v>
      </c>
      <c r="L264" s="313"/>
      <c r="M264" s="364">
        <f t="shared" si="175"/>
        <v>925938.20863992791</v>
      </c>
      <c r="N264" s="389">
        <f t="shared" si="175"/>
        <v>701938.20863992791</v>
      </c>
      <c r="O264" s="389">
        <f t="shared" si="175"/>
        <v>451938.20863992791</v>
      </c>
      <c r="P264" s="389">
        <f t="shared" si="175"/>
        <v>201938.20863992791</v>
      </c>
      <c r="Q264" s="389">
        <f t="shared" si="175"/>
        <v>-48061.791360072093</v>
      </c>
      <c r="R264" s="389"/>
      <c r="S264" s="390" t="s">
        <v>633</v>
      </c>
    </row>
    <row r="265" spans="2:19" x14ac:dyDescent="0.75">
      <c r="B265" s="391" t="s">
        <v>665</v>
      </c>
      <c r="C265" s="392" t="e">
        <f t="shared" ref="C265:H265" si="177">C259-C260-C261-C262+C263+C264</f>
        <v>#REF!</v>
      </c>
      <c r="D265" s="374">
        <f t="shared" si="177"/>
        <v>276763.62000000011</v>
      </c>
      <c r="E265" s="392" t="e">
        <f t="shared" si="177"/>
        <v>#REF!</v>
      </c>
      <c r="F265" s="374">
        <f t="shared" si="177"/>
        <v>197870.10999999975</v>
      </c>
      <c r="G265" s="393" t="e">
        <f t="shared" si="177"/>
        <v>#VALUE!</v>
      </c>
      <c r="H265" s="393">
        <f t="shared" si="177"/>
        <v>71385.077955000335</v>
      </c>
      <c r="I265" s="520"/>
      <c r="J265" s="520"/>
      <c r="K265" s="393">
        <f>K259-K260-K261-K262+K263+K264</f>
        <v>-113602.03204499983</v>
      </c>
      <c r="L265" s="394"/>
      <c r="M265" s="364" t="e">
        <f t="shared" ref="M265:Q265" si="178">M259-M260-M261-M262+M263+M264</f>
        <v>#VALUE!</v>
      </c>
      <c r="N265" s="395" t="e">
        <f t="shared" si="178"/>
        <v>#VALUE!</v>
      </c>
      <c r="O265" s="395" t="e">
        <f t="shared" si="178"/>
        <v>#VALUE!</v>
      </c>
      <c r="P265" s="395" t="e">
        <f t="shared" si="178"/>
        <v>#VALUE!</v>
      </c>
      <c r="Q265" s="395" t="e">
        <f t="shared" si="178"/>
        <v>#VALUE!</v>
      </c>
      <c r="R265" s="395"/>
      <c r="S265" s="396"/>
    </row>
    <row r="266" spans="2:19" x14ac:dyDescent="0.75">
      <c r="L266" s="397"/>
      <c r="M266" s="272"/>
      <c r="N266" s="272"/>
      <c r="O266" s="272"/>
      <c r="P266" s="272"/>
      <c r="Q266" s="272"/>
      <c r="R266" s="272"/>
      <c r="S266" s="272"/>
    </row>
    <row r="268" spans="2:19" x14ac:dyDescent="0.75">
      <c r="F268" s="398"/>
      <c r="H268" s="399"/>
    </row>
    <row r="269" spans="2:19" x14ac:dyDescent="0.75">
      <c r="F269" s="398"/>
      <c r="G269" s="399"/>
      <c r="H269" s="399"/>
    </row>
    <row r="270" spans="2:19" x14ac:dyDescent="0.75">
      <c r="F270" s="398"/>
      <c r="G270" s="399"/>
      <c r="H270" s="399"/>
    </row>
    <row r="271" spans="2:19" x14ac:dyDescent="0.75">
      <c r="G271" s="399"/>
      <c r="H271" s="399"/>
      <c r="I271" s="399"/>
      <c r="J271" s="399"/>
      <c r="K271" s="399"/>
      <c r="L271" s="399"/>
    </row>
    <row r="272" spans="2:19" x14ac:dyDescent="0.75">
      <c r="G272" s="399"/>
      <c r="H272" s="399"/>
      <c r="I272" s="399"/>
      <c r="J272" s="399"/>
      <c r="K272" s="399"/>
      <c r="L272" s="399"/>
    </row>
    <row r="273" spans="7:12" x14ac:dyDescent="0.75">
      <c r="G273" s="399"/>
      <c r="H273" s="399"/>
      <c r="I273" s="399"/>
      <c r="J273" s="399"/>
      <c r="K273" s="399"/>
      <c r="L273" s="399"/>
    </row>
    <row r="275" spans="7:12" x14ac:dyDescent="0.75">
      <c r="G275" s="399"/>
      <c r="H275" s="399"/>
      <c r="I275" s="399"/>
      <c r="J275" s="399"/>
      <c r="K275" s="399"/>
      <c r="L275" s="399"/>
    </row>
    <row r="276" spans="7:12" x14ac:dyDescent="0.75">
      <c r="G276" s="399"/>
      <c r="H276" s="399"/>
      <c r="I276" s="399"/>
      <c r="J276" s="399"/>
      <c r="K276" s="399"/>
      <c r="L276" s="399"/>
    </row>
    <row r="277" spans="7:12" x14ac:dyDescent="0.75">
      <c r="G277" s="399"/>
      <c r="H277" s="399"/>
      <c r="I277" s="399"/>
      <c r="J277" s="399"/>
      <c r="K277" s="399"/>
      <c r="L277" s="399"/>
    </row>
    <row r="279" spans="7:12" x14ac:dyDescent="0.75">
      <c r="G279" s="399"/>
      <c r="H279" s="399"/>
      <c r="I279" s="399"/>
      <c r="J279" s="399"/>
      <c r="K279" s="399"/>
      <c r="L279" s="399"/>
    </row>
  </sheetData>
  <mergeCells count="5">
    <mergeCell ref="B1:K1"/>
    <mergeCell ref="B2:K2"/>
    <mergeCell ref="C5:D5"/>
    <mergeCell ref="F5:K5"/>
    <mergeCell ref="B3:K3"/>
  </mergeCells>
  <pageMargins left="0.5" right="0.5" top="0.5" bottom="0.5" header="0" footer="0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  <pageSetUpPr fitToPage="1"/>
  </sheetPr>
  <dimension ref="A1:XEV320"/>
  <sheetViews>
    <sheetView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A173" sqref="A173:XFD173"/>
    </sheetView>
  </sheetViews>
  <sheetFormatPr defaultColWidth="8.6796875" defaultRowHeight="13" x14ac:dyDescent="0.6"/>
  <cols>
    <col min="1" max="1" width="42.1796875" style="557" customWidth="1"/>
    <col min="2" max="4" width="11.5" style="557" customWidth="1"/>
    <col min="5" max="5" width="9.5" style="557" customWidth="1"/>
    <col min="6" max="6" width="0.5" style="557" customWidth="1"/>
    <col min="7" max="7" width="9.1796875" style="557" bestFit="1" customWidth="1"/>
    <col min="8" max="9" width="8.81640625" style="557" bestFit="1" customWidth="1"/>
    <col min="10" max="10" width="9.1796875" style="557" bestFit="1" customWidth="1"/>
    <col min="11" max="11" width="20.5" style="557" customWidth="1"/>
    <col min="12" max="12" width="21.1796875" style="557" customWidth="1"/>
    <col min="13" max="13" width="8.6796875" style="557" customWidth="1"/>
    <col min="14" max="16384" width="8.6796875" style="557"/>
  </cols>
  <sheetData>
    <row r="1" spans="1:12" ht="19" x14ac:dyDescent="0.8">
      <c r="A1" s="556" t="s">
        <v>783</v>
      </c>
    </row>
    <row r="2" spans="1:12" x14ac:dyDescent="0.6">
      <c r="A2" s="557" t="s">
        <v>784</v>
      </c>
      <c r="E2" s="558"/>
    </row>
    <row r="3" spans="1:12" ht="13.75" thickBot="1" x14ac:dyDescent="0.75">
      <c r="D3" s="558"/>
      <c r="E3" s="558"/>
    </row>
    <row r="4" spans="1:12" ht="15" customHeight="1" thickBot="1" x14ac:dyDescent="0.75">
      <c r="A4" s="658"/>
      <c r="B4" s="776" t="s">
        <v>851</v>
      </c>
      <c r="C4" s="777"/>
      <c r="D4" s="777"/>
      <c r="E4" s="778"/>
      <c r="G4" s="671" t="s">
        <v>787</v>
      </c>
      <c r="H4" s="680" t="s">
        <v>788</v>
      </c>
      <c r="I4" s="671" t="s">
        <v>789</v>
      </c>
      <c r="J4" s="663" t="s">
        <v>790</v>
      </c>
      <c r="L4" s="703"/>
    </row>
    <row r="5" spans="1:12" ht="13.5" x14ac:dyDescent="0.6">
      <c r="A5" s="659"/>
      <c r="B5" s="779" t="s">
        <v>852</v>
      </c>
      <c r="C5" s="780"/>
      <c r="D5" s="780"/>
      <c r="E5" s="781"/>
      <c r="G5" s="672">
        <f>'Balance Sheet'!B8</f>
        <v>844705.11999999988</v>
      </c>
      <c r="H5" s="681">
        <f>G13</f>
        <v>605346.02912249998</v>
      </c>
      <c r="I5" s="672">
        <f>H13</f>
        <v>796349.93824500008</v>
      </c>
      <c r="J5" s="664">
        <f>I13</f>
        <v>634345.84736750019</v>
      </c>
      <c r="L5" s="703"/>
    </row>
    <row r="6" spans="1:12" ht="13.5" x14ac:dyDescent="0.6">
      <c r="A6" s="660"/>
      <c r="B6" s="782" t="s">
        <v>859</v>
      </c>
      <c r="C6" s="783"/>
      <c r="D6" s="783"/>
      <c r="E6" s="784"/>
      <c r="G6" s="673">
        <f>G62</f>
        <v>22145</v>
      </c>
      <c r="H6" s="673">
        <f t="shared" ref="H6:J6" si="0">H62</f>
        <v>451508</v>
      </c>
      <c r="I6" s="673">
        <f t="shared" si="0"/>
        <v>98500</v>
      </c>
      <c r="J6" s="673">
        <f t="shared" si="0"/>
        <v>19928</v>
      </c>
      <c r="L6" s="703"/>
    </row>
    <row r="7" spans="1:12" ht="13.5" x14ac:dyDescent="0.6">
      <c r="A7" s="660"/>
      <c r="B7" s="785" t="s">
        <v>857</v>
      </c>
      <c r="C7" s="786"/>
      <c r="D7" s="786"/>
      <c r="E7" s="787"/>
      <c r="G7" s="673">
        <f>-G288+(G262+G258+G249)</f>
        <v>-212203.27087749995</v>
      </c>
      <c r="H7" s="673">
        <f>-H288+(H262+H258+H249)</f>
        <v>-211203.27087749995</v>
      </c>
      <c r="I7" s="673">
        <f>-I288+(I262+I258+I249)</f>
        <v>-211203.27087749995</v>
      </c>
      <c r="J7" s="673">
        <f>-J288+(J262+J258+J249)</f>
        <v>-265376.27087749995</v>
      </c>
      <c r="L7" s="703"/>
    </row>
    <row r="8" spans="1:12" ht="13.5" x14ac:dyDescent="0.6">
      <c r="A8" s="659"/>
      <c r="B8" s="788" t="s">
        <v>853</v>
      </c>
      <c r="C8" s="789"/>
      <c r="D8" s="789"/>
      <c r="E8" s="790"/>
      <c r="G8" s="674">
        <f t="shared" ref="G8:J8" si="1">SUM(G5:G7)</f>
        <v>654646.84912249993</v>
      </c>
      <c r="H8" s="683">
        <f t="shared" si="1"/>
        <v>845650.75824500003</v>
      </c>
      <c r="I8" s="674">
        <f t="shared" si="1"/>
        <v>683646.66736750014</v>
      </c>
      <c r="J8" s="666">
        <f t="shared" si="1"/>
        <v>388897.57649000024</v>
      </c>
      <c r="L8" s="703"/>
    </row>
    <row r="9" spans="1:12" ht="13.5" x14ac:dyDescent="0.6">
      <c r="A9" s="660"/>
      <c r="B9" s="782" t="s">
        <v>858</v>
      </c>
      <c r="C9" s="783"/>
      <c r="D9" s="783"/>
      <c r="E9" s="784"/>
      <c r="G9" s="675"/>
      <c r="H9" s="684"/>
      <c r="I9" s="675"/>
      <c r="J9" s="667"/>
      <c r="L9" s="703"/>
    </row>
    <row r="10" spans="1:12" ht="13.5" x14ac:dyDescent="0.6">
      <c r="A10" s="660"/>
      <c r="B10" s="782" t="s">
        <v>860</v>
      </c>
      <c r="C10" s="783"/>
      <c r="D10" s="783"/>
      <c r="E10" s="784"/>
      <c r="G10" s="673"/>
      <c r="H10" s="682"/>
      <c r="I10" s="673"/>
      <c r="J10" s="665"/>
      <c r="L10" s="703"/>
    </row>
    <row r="11" spans="1:12" ht="13.5" x14ac:dyDescent="0.6">
      <c r="A11" s="660"/>
      <c r="B11" s="782" t="s">
        <v>861</v>
      </c>
      <c r="C11" s="783"/>
      <c r="D11" s="783"/>
      <c r="E11" s="784"/>
      <c r="G11" s="673">
        <f>-G319</f>
        <v>-49300.82</v>
      </c>
      <c r="H11" s="682">
        <f>-H319</f>
        <v>-49300.82</v>
      </c>
      <c r="I11" s="673">
        <f>-I319</f>
        <v>-49300.82</v>
      </c>
      <c r="J11" s="665">
        <f>-J319</f>
        <v>-49300.82</v>
      </c>
      <c r="K11" s="633"/>
      <c r="L11" s="703"/>
    </row>
    <row r="12" spans="1:12" ht="13.5" x14ac:dyDescent="0.6">
      <c r="A12" s="660"/>
      <c r="B12" s="785" t="s">
        <v>862</v>
      </c>
      <c r="C12" s="786"/>
      <c r="D12" s="786"/>
      <c r="E12" s="787"/>
      <c r="G12" s="673"/>
      <c r="H12" s="682"/>
      <c r="I12" s="673"/>
      <c r="J12" s="665"/>
      <c r="L12" s="703"/>
    </row>
    <row r="13" spans="1:12" ht="13.5" x14ac:dyDescent="0.6">
      <c r="A13" s="659"/>
      <c r="B13" s="791" t="s">
        <v>854</v>
      </c>
      <c r="C13" s="792"/>
      <c r="D13" s="792"/>
      <c r="E13" s="793"/>
      <c r="G13" s="676">
        <f>SUM(G8:G12)</f>
        <v>605346.02912249998</v>
      </c>
      <c r="H13" s="685">
        <f t="shared" ref="H13:J13" si="2">SUM(H8:H12)</f>
        <v>796349.93824500008</v>
      </c>
      <c r="I13" s="676">
        <f t="shared" si="2"/>
        <v>634345.84736750019</v>
      </c>
      <c r="J13" s="668">
        <f t="shared" si="2"/>
        <v>339596.75649000023</v>
      </c>
      <c r="L13" s="703"/>
    </row>
    <row r="14" spans="1:12" ht="13.5" x14ac:dyDescent="0.6">
      <c r="A14" s="659"/>
      <c r="B14" s="794"/>
      <c r="C14" s="795"/>
      <c r="D14" s="795"/>
      <c r="E14" s="796"/>
      <c r="G14" s="677"/>
      <c r="H14" s="661"/>
      <c r="I14" s="677"/>
      <c r="J14" s="662"/>
      <c r="L14" s="703"/>
    </row>
    <row r="15" spans="1:12" ht="13.5" x14ac:dyDescent="0.6">
      <c r="A15" s="660"/>
      <c r="B15" s="782" t="s">
        <v>863</v>
      </c>
      <c r="C15" s="783"/>
      <c r="D15" s="783"/>
      <c r="E15" s="784"/>
      <c r="G15" s="678"/>
      <c r="H15" s="686"/>
      <c r="I15" s="678"/>
      <c r="J15" s="669"/>
    </row>
    <row r="16" spans="1:12" ht="14.25" thickBot="1" x14ac:dyDescent="0.75">
      <c r="A16" s="659"/>
      <c r="B16" s="797" t="s">
        <v>855</v>
      </c>
      <c r="C16" s="798"/>
      <c r="D16" s="798"/>
      <c r="E16" s="799"/>
      <c r="G16" s="679">
        <f t="shared" ref="G16:J16" si="3">G13+G15</f>
        <v>605346.02912249998</v>
      </c>
      <c r="H16" s="687">
        <f t="shared" si="3"/>
        <v>796349.93824500008</v>
      </c>
      <c r="I16" s="679">
        <f t="shared" si="3"/>
        <v>634345.84736750019</v>
      </c>
      <c r="J16" s="670">
        <f t="shared" si="3"/>
        <v>339596.75649000023</v>
      </c>
    </row>
    <row r="17" spans="1:13" x14ac:dyDescent="0.6">
      <c r="D17" s="558"/>
      <c r="E17" s="558"/>
    </row>
    <row r="18" spans="1:13" x14ac:dyDescent="0.6">
      <c r="G18" s="775"/>
      <c r="H18" s="775"/>
      <c r="I18" s="775"/>
      <c r="J18" s="775"/>
      <c r="K18" s="775"/>
    </row>
    <row r="19" spans="1:13" ht="26" x14ac:dyDescent="0.6">
      <c r="A19" s="559"/>
      <c r="B19" s="560" t="s">
        <v>785</v>
      </c>
      <c r="C19" s="561" t="s">
        <v>0</v>
      </c>
      <c r="D19" s="562" t="s">
        <v>786</v>
      </c>
      <c r="E19" s="563" t="s">
        <v>5</v>
      </c>
      <c r="G19" s="563" t="s">
        <v>787</v>
      </c>
      <c r="H19" s="563" t="s">
        <v>788</v>
      </c>
      <c r="I19" s="563" t="s">
        <v>789</v>
      </c>
      <c r="J19" s="563" t="s">
        <v>790</v>
      </c>
      <c r="K19" s="563" t="s">
        <v>15</v>
      </c>
      <c r="L19" s="717" t="s">
        <v>920</v>
      </c>
      <c r="M19" s="718" t="s">
        <v>921</v>
      </c>
    </row>
    <row r="20" spans="1:13" x14ac:dyDescent="0.6">
      <c r="A20" s="559" t="s">
        <v>249</v>
      </c>
      <c r="B20" s="564"/>
      <c r="C20" s="565"/>
      <c r="D20" s="566"/>
    </row>
    <row r="21" spans="1:13" x14ac:dyDescent="0.6">
      <c r="A21" s="559" t="s">
        <v>250</v>
      </c>
      <c r="B21" s="567">
        <f>'P&amp;L (QB)'!B8</f>
        <v>1216498.75</v>
      </c>
      <c r="C21" s="568">
        <v>1712324</v>
      </c>
      <c r="D21" s="574">
        <f>K21+B21</f>
        <v>1668006.75</v>
      </c>
      <c r="E21" s="569">
        <f>D21-C21</f>
        <v>-44317.25</v>
      </c>
      <c r="G21" s="570"/>
      <c r="H21" s="570">
        <v>451508</v>
      </c>
      <c r="I21" s="570">
        <v>0</v>
      </c>
      <c r="J21" s="570">
        <v>0</v>
      </c>
      <c r="K21" s="571">
        <f t="shared" ref="K21:K29" si="4">SUM(G21:J21)</f>
        <v>451508</v>
      </c>
    </row>
    <row r="22" spans="1:13" x14ac:dyDescent="0.6">
      <c r="A22" s="559" t="s">
        <v>252</v>
      </c>
      <c r="B22" s="572">
        <f>'P&amp;L (QB)'!B9</f>
        <v>141380.99</v>
      </c>
      <c r="C22" s="573">
        <v>200880</v>
      </c>
      <c r="D22" s="574">
        <f t="shared" ref="D22:D29" si="5">K22+B22</f>
        <v>141380.99</v>
      </c>
      <c r="E22" s="570">
        <f t="shared" ref="E22:E29" si="6">D22-C22</f>
        <v>-59499.010000000009</v>
      </c>
      <c r="G22" s="570"/>
      <c r="H22" s="570">
        <f t="shared" ref="H22:J23" si="7">G22</f>
        <v>0</v>
      </c>
      <c r="I22" s="570">
        <f t="shared" si="7"/>
        <v>0</v>
      </c>
      <c r="J22" s="570">
        <f t="shared" si="7"/>
        <v>0</v>
      </c>
      <c r="K22" s="571">
        <f t="shared" si="4"/>
        <v>0</v>
      </c>
      <c r="M22" s="569"/>
    </row>
    <row r="23" spans="1:13" x14ac:dyDescent="0.6">
      <c r="A23" s="559" t="s">
        <v>251</v>
      </c>
      <c r="B23" s="572">
        <f>'P&amp;L (QB)'!B10</f>
        <v>325597</v>
      </c>
      <c r="C23" s="573">
        <v>388697.19999999995</v>
      </c>
      <c r="D23" s="574">
        <f t="shared" si="5"/>
        <v>325597</v>
      </c>
      <c r="E23" s="570">
        <f t="shared" si="6"/>
        <v>-63100.199999999953</v>
      </c>
      <c r="G23" s="570"/>
      <c r="H23" s="570">
        <f t="shared" si="7"/>
        <v>0</v>
      </c>
      <c r="I23" s="570">
        <f t="shared" si="7"/>
        <v>0</v>
      </c>
      <c r="J23" s="570">
        <f t="shared" si="7"/>
        <v>0</v>
      </c>
      <c r="K23" s="571">
        <f t="shared" si="4"/>
        <v>0</v>
      </c>
      <c r="L23" s="587"/>
    </row>
    <row r="24" spans="1:13" x14ac:dyDescent="0.6">
      <c r="A24" s="559" t="s">
        <v>381</v>
      </c>
      <c r="B24" s="575">
        <f>'P&amp;L (QB)'!B11</f>
        <v>0</v>
      </c>
      <c r="C24" s="573">
        <v>6990</v>
      </c>
      <c r="D24" s="574">
        <f t="shared" si="5"/>
        <v>0</v>
      </c>
      <c r="E24" s="570">
        <f t="shared" si="6"/>
        <v>-6990</v>
      </c>
      <c r="G24" s="570"/>
      <c r="H24" s="570"/>
      <c r="I24" s="570"/>
      <c r="J24" s="570"/>
      <c r="K24" s="571">
        <f t="shared" si="4"/>
        <v>0</v>
      </c>
    </row>
    <row r="25" spans="1:13" x14ac:dyDescent="0.6">
      <c r="A25" s="559" t="s">
        <v>382</v>
      </c>
      <c r="B25" s="575">
        <f>'P&amp;L (QB)'!B12</f>
        <v>0</v>
      </c>
      <c r="C25" s="573">
        <v>1797.6000000000001</v>
      </c>
      <c r="D25" s="574">
        <f t="shared" si="5"/>
        <v>0</v>
      </c>
      <c r="E25" s="570">
        <f t="shared" si="6"/>
        <v>-1797.6000000000001</v>
      </c>
      <c r="G25" s="570"/>
      <c r="H25" s="570"/>
      <c r="I25" s="570"/>
      <c r="J25" s="570"/>
      <c r="K25" s="571">
        <f t="shared" si="4"/>
        <v>0</v>
      </c>
    </row>
    <row r="26" spans="1:13" x14ac:dyDescent="0.6">
      <c r="A26" s="559" t="s">
        <v>383</v>
      </c>
      <c r="B26" s="575">
        <f>'P&amp;L (QB)'!B13</f>
        <v>0</v>
      </c>
      <c r="C26" s="573">
        <v>750</v>
      </c>
      <c r="D26" s="574">
        <f t="shared" si="5"/>
        <v>0</v>
      </c>
      <c r="E26" s="570">
        <f t="shared" si="6"/>
        <v>-750</v>
      </c>
      <c r="G26" s="570"/>
      <c r="H26" s="570"/>
      <c r="I26" s="570"/>
      <c r="J26" s="570"/>
      <c r="K26" s="571">
        <f t="shared" si="4"/>
        <v>0</v>
      </c>
    </row>
    <row r="27" spans="1:13" x14ac:dyDescent="0.6">
      <c r="A27" s="559" t="s">
        <v>384</v>
      </c>
      <c r="B27" s="575">
        <f>'P&amp;L (QB)'!B14</f>
        <v>0</v>
      </c>
      <c r="C27" s="573"/>
      <c r="D27" s="574">
        <f t="shared" si="5"/>
        <v>0</v>
      </c>
      <c r="E27" s="570">
        <f t="shared" si="6"/>
        <v>0</v>
      </c>
      <c r="G27" s="570"/>
      <c r="H27" s="570"/>
      <c r="I27" s="570"/>
      <c r="J27" s="570"/>
      <c r="K27" s="571">
        <f t="shared" si="4"/>
        <v>0</v>
      </c>
    </row>
    <row r="28" spans="1:13" x14ac:dyDescent="0.6">
      <c r="A28" s="696" t="s">
        <v>385</v>
      </c>
      <c r="B28" s="697">
        <f>'P&amp;L (QB)'!B15</f>
        <v>0</v>
      </c>
      <c r="C28" s="701">
        <v>232700</v>
      </c>
      <c r="D28" s="574">
        <f t="shared" si="5"/>
        <v>0</v>
      </c>
      <c r="E28" s="698">
        <f t="shared" si="6"/>
        <v>-232700</v>
      </c>
      <c r="F28" s="694"/>
      <c r="G28" s="698"/>
      <c r="H28" s="698"/>
      <c r="I28" s="698"/>
      <c r="J28" s="698">
        <v>0</v>
      </c>
      <c r="K28" s="702">
        <f t="shared" si="4"/>
        <v>0</v>
      </c>
    </row>
    <row r="29" spans="1:13" x14ac:dyDescent="0.6">
      <c r="A29" s="559" t="s">
        <v>386</v>
      </c>
      <c r="B29" s="576">
        <f>'P&amp;L (QB)'!B16</f>
        <v>0</v>
      </c>
      <c r="C29" s="577">
        <v>19928</v>
      </c>
      <c r="D29" s="578">
        <f t="shared" si="5"/>
        <v>19928</v>
      </c>
      <c r="E29" s="579">
        <f t="shared" si="6"/>
        <v>0</v>
      </c>
      <c r="G29" s="579"/>
      <c r="H29" s="579"/>
      <c r="I29" s="579"/>
      <c r="J29" s="579">
        <v>19928</v>
      </c>
      <c r="K29" s="580">
        <f t="shared" si="4"/>
        <v>19928</v>
      </c>
    </row>
    <row r="30" spans="1:13" x14ac:dyDescent="0.6">
      <c r="A30" s="559" t="s">
        <v>248</v>
      </c>
      <c r="B30" s="581">
        <f>SUM(B21:B29)</f>
        <v>1683476.74</v>
      </c>
      <c r="C30" s="582">
        <f>SUM(C21:C29)</f>
        <v>2564066.8000000003</v>
      </c>
      <c r="D30" s="583">
        <f>SUM(D21:D29)</f>
        <v>2154912.7400000002</v>
      </c>
      <c r="E30" s="584">
        <f t="shared" ref="E30" si="8">SUM(E21:E29)</f>
        <v>-409154.05999999994</v>
      </c>
      <c r="G30" s="584">
        <f t="shared" ref="G30:J30" si="9">SUM(G21:G29)</f>
        <v>0</v>
      </c>
      <c r="H30" s="584">
        <f t="shared" si="9"/>
        <v>451508</v>
      </c>
      <c r="I30" s="584">
        <f t="shared" si="9"/>
        <v>0</v>
      </c>
      <c r="J30" s="584">
        <f t="shared" si="9"/>
        <v>19928</v>
      </c>
      <c r="K30" s="585">
        <f>SUM(K21:K29)</f>
        <v>471436</v>
      </c>
    </row>
    <row r="31" spans="1:13" x14ac:dyDescent="0.6">
      <c r="A31" s="559" t="s">
        <v>63</v>
      </c>
      <c r="B31" s="575"/>
      <c r="C31" s="586"/>
      <c r="D31" s="566"/>
      <c r="K31" s="571"/>
    </row>
    <row r="32" spans="1:13" x14ac:dyDescent="0.6">
      <c r="A32" s="559" t="s">
        <v>387</v>
      </c>
      <c r="B32" s="572">
        <f>'P&amp;L (QB)'!B19</f>
        <v>12884</v>
      </c>
      <c r="C32" s="586">
        <v>0</v>
      </c>
      <c r="D32" s="574">
        <f t="shared" ref="D32:D38" si="10">K32+B32</f>
        <v>12884</v>
      </c>
      <c r="E32" s="587">
        <f>D32-C32</f>
        <v>12884</v>
      </c>
      <c r="G32" s="570">
        <v>0</v>
      </c>
      <c r="H32" s="570">
        <v>0</v>
      </c>
      <c r="I32" s="570">
        <v>0</v>
      </c>
      <c r="J32" s="570">
        <v>0</v>
      </c>
      <c r="K32" s="571">
        <f t="shared" ref="K32:K38" si="11">SUM(G32:J32)</f>
        <v>0</v>
      </c>
    </row>
    <row r="33" spans="1:11" x14ac:dyDescent="0.6">
      <c r="A33" s="559" t="s">
        <v>388</v>
      </c>
      <c r="B33" s="572">
        <f>'P&amp;L (QB)'!B20</f>
        <v>29032</v>
      </c>
      <c r="C33" s="573">
        <v>42400.000000000007</v>
      </c>
      <c r="D33" s="574">
        <f t="shared" si="10"/>
        <v>48369</v>
      </c>
      <c r="E33" s="570">
        <f t="shared" ref="E33:E38" si="12">D33-C33</f>
        <v>5968.9999999999927</v>
      </c>
      <c r="G33" s="570">
        <v>19337</v>
      </c>
      <c r="H33" s="570"/>
      <c r="I33" s="570"/>
      <c r="J33" s="570"/>
      <c r="K33" s="571">
        <f t="shared" si="11"/>
        <v>19337</v>
      </c>
    </row>
    <row r="34" spans="1:11" x14ac:dyDescent="0.6">
      <c r="A34" s="559" t="s">
        <v>389</v>
      </c>
      <c r="B34" s="572">
        <f>'P&amp;L (QB)'!B21</f>
        <v>4213</v>
      </c>
      <c r="C34" s="573">
        <v>3392.0000000000005</v>
      </c>
      <c r="D34" s="574">
        <f t="shared" si="10"/>
        <v>7021</v>
      </c>
      <c r="E34" s="570">
        <f t="shared" si="12"/>
        <v>3628.9999999999995</v>
      </c>
      <c r="G34" s="570">
        <v>2808</v>
      </c>
      <c r="H34" s="570"/>
      <c r="I34" s="570"/>
      <c r="J34" s="570"/>
      <c r="K34" s="571">
        <f t="shared" si="11"/>
        <v>2808</v>
      </c>
    </row>
    <row r="35" spans="1:11" x14ac:dyDescent="0.6">
      <c r="A35" s="559" t="s">
        <v>390</v>
      </c>
      <c r="B35" s="575">
        <f>'P&amp;L (QB)'!B22</f>
        <v>0</v>
      </c>
      <c r="C35" s="573">
        <v>0</v>
      </c>
      <c r="D35" s="574">
        <f t="shared" si="10"/>
        <v>0</v>
      </c>
      <c r="E35" s="570">
        <f t="shared" si="12"/>
        <v>0</v>
      </c>
      <c r="G35" s="570"/>
      <c r="H35" s="570"/>
      <c r="I35" s="570"/>
      <c r="J35" s="570"/>
      <c r="K35" s="571">
        <f t="shared" si="11"/>
        <v>0</v>
      </c>
    </row>
    <row r="36" spans="1:11" x14ac:dyDescent="0.6">
      <c r="A36" s="559" t="s">
        <v>391</v>
      </c>
      <c r="B36" s="572">
        <f>'P&amp;L (QB)'!B23</f>
        <v>12058.29</v>
      </c>
      <c r="C36" s="573">
        <v>27540</v>
      </c>
      <c r="D36" s="574">
        <f t="shared" si="10"/>
        <v>12058.29</v>
      </c>
      <c r="E36" s="570">
        <f t="shared" si="12"/>
        <v>-15481.71</v>
      </c>
      <c r="G36" s="570"/>
      <c r="H36" s="570"/>
      <c r="I36" s="570"/>
      <c r="J36" s="570"/>
      <c r="K36" s="571">
        <f t="shared" si="11"/>
        <v>0</v>
      </c>
    </row>
    <row r="37" spans="1:11" x14ac:dyDescent="0.6">
      <c r="A37" s="559" t="s">
        <v>392</v>
      </c>
      <c r="B37" s="575">
        <f>'P&amp;L (QB)'!B24</f>
        <v>0</v>
      </c>
      <c r="C37" s="573">
        <v>0</v>
      </c>
      <c r="D37" s="574">
        <f t="shared" si="10"/>
        <v>0</v>
      </c>
      <c r="E37" s="570">
        <f t="shared" si="12"/>
        <v>0</v>
      </c>
      <c r="G37" s="570"/>
      <c r="H37" s="570"/>
      <c r="I37" s="570"/>
      <c r="J37" s="570"/>
      <c r="K37" s="571">
        <f t="shared" si="11"/>
        <v>0</v>
      </c>
    </row>
    <row r="38" spans="1:11" x14ac:dyDescent="0.6">
      <c r="A38" s="559" t="s">
        <v>130</v>
      </c>
      <c r="B38" s="576">
        <f>'P&amp;L (QB)'!B25</f>
        <v>215782.15</v>
      </c>
      <c r="C38" s="577">
        <v>373831</v>
      </c>
      <c r="D38" s="578">
        <f t="shared" si="10"/>
        <v>314282.15000000002</v>
      </c>
      <c r="E38" s="579">
        <f t="shared" si="12"/>
        <v>-59548.849999999977</v>
      </c>
      <c r="G38" s="579"/>
      <c r="H38" s="579"/>
      <c r="I38" s="579">
        <f>79500+19000</f>
        <v>98500</v>
      </c>
      <c r="J38" s="579"/>
      <c r="K38" s="580">
        <f t="shared" si="11"/>
        <v>98500</v>
      </c>
    </row>
    <row r="39" spans="1:11" x14ac:dyDescent="0.6">
      <c r="A39" s="559" t="s">
        <v>64</v>
      </c>
      <c r="B39" s="581">
        <f>SUM(B32:B38)</f>
        <v>273969.44</v>
      </c>
      <c r="C39" s="582">
        <f t="shared" ref="C39:E39" si="13">SUM(C32:C38)</f>
        <v>447163</v>
      </c>
      <c r="D39" s="583">
        <f>SUM(D32:D38)</f>
        <v>394614.44000000006</v>
      </c>
      <c r="E39" s="584">
        <f t="shared" si="13"/>
        <v>-52548.559999999983</v>
      </c>
      <c r="G39" s="584">
        <f t="shared" ref="G39:K39" si="14">SUM(G32:G38)</f>
        <v>22145</v>
      </c>
      <c r="H39" s="584">
        <f t="shared" si="14"/>
        <v>0</v>
      </c>
      <c r="I39" s="584">
        <f t="shared" si="14"/>
        <v>98500</v>
      </c>
      <c r="J39" s="584">
        <f t="shared" si="14"/>
        <v>0</v>
      </c>
      <c r="K39" s="585">
        <f t="shared" si="14"/>
        <v>120645</v>
      </c>
    </row>
    <row r="40" spans="1:11" x14ac:dyDescent="0.6">
      <c r="A40" s="559" t="s">
        <v>65</v>
      </c>
      <c r="B40" s="575"/>
      <c r="C40" s="586"/>
      <c r="D40" s="566"/>
      <c r="K40" s="571"/>
    </row>
    <row r="41" spans="1:11" x14ac:dyDescent="0.6">
      <c r="A41" s="559" t="s">
        <v>393</v>
      </c>
      <c r="B41" s="575">
        <f>'P&amp;L (QB)'!B28</f>
        <v>0</v>
      </c>
      <c r="C41" s="586"/>
      <c r="D41" s="574">
        <f t="shared" ref="D41:D44" si="15">K41+B41</f>
        <v>0</v>
      </c>
      <c r="K41" s="571">
        <f>SUM(G41:J41)</f>
        <v>0</v>
      </c>
    </row>
    <row r="42" spans="1:11" x14ac:dyDescent="0.6">
      <c r="A42" s="559" t="s">
        <v>176</v>
      </c>
      <c r="B42" s="572">
        <f>'P&amp;L (QB)'!B29</f>
        <v>11667.06</v>
      </c>
      <c r="C42" s="573">
        <v>15000</v>
      </c>
      <c r="D42" s="574">
        <f t="shared" si="15"/>
        <v>11667.06</v>
      </c>
      <c r="E42" s="587">
        <f>D42-C42</f>
        <v>-3332.9400000000005</v>
      </c>
      <c r="G42" s="570"/>
      <c r="H42" s="570">
        <f t="shared" ref="H42:J42" si="16">G42</f>
        <v>0</v>
      </c>
      <c r="I42" s="570">
        <f t="shared" si="16"/>
        <v>0</v>
      </c>
      <c r="J42" s="570">
        <f t="shared" si="16"/>
        <v>0</v>
      </c>
      <c r="K42" s="571">
        <f>SUM(G42:J42)</f>
        <v>0</v>
      </c>
    </row>
    <row r="43" spans="1:11" x14ac:dyDescent="0.6">
      <c r="A43" s="559" t="s">
        <v>107</v>
      </c>
      <c r="B43" s="575">
        <f>'P&amp;L (QB)'!B30</f>
        <v>0</v>
      </c>
      <c r="C43" s="586"/>
      <c r="D43" s="574">
        <f t="shared" si="15"/>
        <v>0</v>
      </c>
      <c r="G43" s="570"/>
      <c r="H43" s="570"/>
      <c r="I43" s="570"/>
      <c r="J43" s="570"/>
      <c r="K43" s="571">
        <f>SUM(G43:J43)</f>
        <v>0</v>
      </c>
    </row>
    <row r="44" spans="1:11" x14ac:dyDescent="0.6">
      <c r="A44" s="559" t="s">
        <v>394</v>
      </c>
      <c r="B44" s="576">
        <f>'P&amp;L (QB)'!B31</f>
        <v>0</v>
      </c>
      <c r="C44" s="588"/>
      <c r="D44" s="578">
        <f t="shared" si="15"/>
        <v>0</v>
      </c>
      <c r="E44" s="589"/>
      <c r="G44" s="579"/>
      <c r="H44" s="579"/>
      <c r="I44" s="579"/>
      <c r="J44" s="579"/>
      <c r="K44" s="580">
        <f>SUM(G44:J44)</f>
        <v>0</v>
      </c>
    </row>
    <row r="45" spans="1:11" x14ac:dyDescent="0.6">
      <c r="A45" s="559" t="s">
        <v>66</v>
      </c>
      <c r="B45" s="581">
        <f>SUM(B41:B44)</f>
        <v>11667.06</v>
      </c>
      <c r="C45" s="582">
        <f t="shared" ref="C45:E45" si="17">SUM(C41:C44)</f>
        <v>15000</v>
      </c>
      <c r="D45" s="583">
        <f t="shared" si="17"/>
        <v>11667.06</v>
      </c>
      <c r="E45" s="584">
        <f t="shared" si="17"/>
        <v>-3332.9400000000005</v>
      </c>
      <c r="G45" s="584">
        <f t="shared" ref="G45:K45" si="18">SUM(G41:G44)</f>
        <v>0</v>
      </c>
      <c r="H45" s="584">
        <f t="shared" si="18"/>
        <v>0</v>
      </c>
      <c r="I45" s="584">
        <f t="shared" si="18"/>
        <v>0</v>
      </c>
      <c r="J45" s="584">
        <f t="shared" si="18"/>
        <v>0</v>
      </c>
      <c r="K45" s="585">
        <f t="shared" si="18"/>
        <v>0</v>
      </c>
    </row>
    <row r="46" spans="1:11" x14ac:dyDescent="0.6">
      <c r="A46" s="559" t="s">
        <v>395</v>
      </c>
      <c r="B46" s="575"/>
      <c r="C46" s="586"/>
      <c r="D46" s="574">
        <v>0</v>
      </c>
      <c r="K46" s="571"/>
    </row>
    <row r="47" spans="1:11" x14ac:dyDescent="0.6">
      <c r="A47" s="559" t="s">
        <v>396</v>
      </c>
      <c r="B47" s="576">
        <f>'P&amp;L (QB)'!B34</f>
        <v>0</v>
      </c>
      <c r="C47" s="588"/>
      <c r="D47" s="590"/>
      <c r="E47" s="589"/>
      <c r="G47" s="589"/>
      <c r="H47" s="589"/>
      <c r="I47" s="589"/>
      <c r="J47" s="589"/>
      <c r="K47" s="580">
        <f>SUM(G47:J47)</f>
        <v>0</v>
      </c>
    </row>
    <row r="48" spans="1:11" x14ac:dyDescent="0.6">
      <c r="A48" s="559" t="s">
        <v>397</v>
      </c>
      <c r="B48" s="572">
        <f>SUM(B47)</f>
        <v>0</v>
      </c>
      <c r="C48" s="591">
        <f>SUM(C47)</f>
        <v>0</v>
      </c>
      <c r="D48" s="592">
        <f>SUM(D46:D47)</f>
        <v>0</v>
      </c>
      <c r="E48" s="593">
        <f t="shared" ref="E48:K48" si="19">SUM(E47)</f>
        <v>0</v>
      </c>
      <c r="G48" s="593">
        <f t="shared" si="19"/>
        <v>0</v>
      </c>
      <c r="H48" s="593">
        <f t="shared" si="19"/>
        <v>0</v>
      </c>
      <c r="I48" s="593">
        <f t="shared" si="19"/>
        <v>0</v>
      </c>
      <c r="J48" s="593">
        <f t="shared" si="19"/>
        <v>0</v>
      </c>
      <c r="K48" s="594">
        <f t="shared" si="19"/>
        <v>0</v>
      </c>
    </row>
    <row r="49" spans="1:13" x14ac:dyDescent="0.6">
      <c r="A49" s="559" t="s">
        <v>398</v>
      </c>
      <c r="B49" s="575"/>
      <c r="C49" s="586"/>
      <c r="D49" s="566"/>
      <c r="K49" s="571"/>
    </row>
    <row r="50" spans="1:13" x14ac:dyDescent="0.6">
      <c r="A50" s="559" t="s">
        <v>399</v>
      </c>
      <c r="B50" s="595">
        <f>'P&amp;L (QB)'!B37</f>
        <v>0.48</v>
      </c>
      <c r="C50" s="596">
        <v>0</v>
      </c>
      <c r="D50" s="597">
        <f t="shared" ref="D50" si="20">K50+B50</f>
        <v>0.48</v>
      </c>
      <c r="E50" s="598">
        <f>D50-C50</f>
        <v>0.48</v>
      </c>
      <c r="G50" s="589"/>
      <c r="H50" s="589"/>
      <c r="I50" s="589"/>
      <c r="J50" s="589"/>
      <c r="K50" s="580">
        <f>SUM(G50:J50)</f>
        <v>0</v>
      </c>
    </row>
    <row r="51" spans="1:13" x14ac:dyDescent="0.6">
      <c r="A51" s="559" t="s">
        <v>400</v>
      </c>
      <c r="B51" s="599">
        <f>SUM(B50)</f>
        <v>0.48</v>
      </c>
      <c r="C51" s="600">
        <f>SUM(C50)</f>
        <v>0</v>
      </c>
      <c r="D51" s="601">
        <f>SUM(D49:D50)</f>
        <v>0.48</v>
      </c>
      <c r="E51" s="585">
        <f t="shared" ref="E51:K51" si="21">SUM(E50)</f>
        <v>0.48</v>
      </c>
      <c r="G51" s="585">
        <f t="shared" si="21"/>
        <v>0</v>
      </c>
      <c r="H51" s="585">
        <f t="shared" si="21"/>
        <v>0</v>
      </c>
      <c r="I51" s="585">
        <f t="shared" si="21"/>
        <v>0</v>
      </c>
      <c r="J51" s="585">
        <f t="shared" si="21"/>
        <v>0</v>
      </c>
      <c r="K51" s="585">
        <f t="shared" si="21"/>
        <v>0</v>
      </c>
    </row>
    <row r="52" spans="1:13" hidden="1" x14ac:dyDescent="0.6">
      <c r="A52" s="559" t="s">
        <v>401</v>
      </c>
      <c r="B52" s="575"/>
      <c r="C52" s="586"/>
      <c r="D52" s="566"/>
      <c r="K52" s="571"/>
    </row>
    <row r="53" spans="1:13" hidden="1" x14ac:dyDescent="0.6">
      <c r="A53" s="559" t="s">
        <v>402</v>
      </c>
      <c r="B53" s="575">
        <f>'P&amp;L (QB)'!B40</f>
        <v>0</v>
      </c>
      <c r="C53" s="586"/>
      <c r="D53" s="574">
        <v>0</v>
      </c>
      <c r="K53" s="571">
        <f>SUM(G53:J53)</f>
        <v>0</v>
      </c>
    </row>
    <row r="54" spans="1:13" hidden="1" x14ac:dyDescent="0.6">
      <c r="A54" s="559" t="s">
        <v>403</v>
      </c>
      <c r="B54" s="575">
        <f>'P&amp;L (QB)'!B41</f>
        <v>0</v>
      </c>
      <c r="C54" s="586"/>
      <c r="D54" s="574">
        <v>0</v>
      </c>
      <c r="K54" s="571">
        <f>SUM(G54:J54)</f>
        <v>0</v>
      </c>
    </row>
    <row r="55" spans="1:13" hidden="1" x14ac:dyDescent="0.6">
      <c r="A55" s="559" t="s">
        <v>404</v>
      </c>
      <c r="B55" s="575">
        <f>'P&amp;L (QB)'!B42</f>
        <v>0</v>
      </c>
      <c r="C55" s="586"/>
      <c r="D55" s="574">
        <v>0</v>
      </c>
      <c r="K55" s="571">
        <f>SUM(G55:J55)</f>
        <v>0</v>
      </c>
    </row>
    <row r="56" spans="1:13" hidden="1" x14ac:dyDescent="0.6">
      <c r="A56" s="559" t="s">
        <v>405</v>
      </c>
      <c r="B56" s="576">
        <f>'P&amp;L (QB)'!B43</f>
        <v>0</v>
      </c>
      <c r="C56" s="588"/>
      <c r="D56" s="578">
        <v>0</v>
      </c>
      <c r="E56" s="589"/>
      <c r="G56" s="589"/>
      <c r="H56" s="589"/>
      <c r="I56" s="589"/>
      <c r="J56" s="589"/>
      <c r="K56" s="580">
        <f>SUM(G56:J56)</f>
        <v>0</v>
      </c>
    </row>
    <row r="57" spans="1:13" x14ac:dyDescent="0.6">
      <c r="A57" s="559" t="s">
        <v>406</v>
      </c>
      <c r="B57" s="581">
        <f>SUM(B53:B56)</f>
        <v>0</v>
      </c>
      <c r="C57" s="582">
        <f>SUM(C53:C56)</f>
        <v>0</v>
      </c>
      <c r="D57" s="583">
        <v>0</v>
      </c>
      <c r="E57" s="584">
        <f t="shared" ref="E57:K57" si="22">SUM(E53:E56)</f>
        <v>0</v>
      </c>
      <c r="G57" s="584">
        <f t="shared" si="22"/>
        <v>0</v>
      </c>
      <c r="H57" s="584">
        <f t="shared" si="22"/>
        <v>0</v>
      </c>
      <c r="I57" s="584">
        <f t="shared" si="22"/>
        <v>0</v>
      </c>
      <c r="J57" s="584">
        <f t="shared" si="22"/>
        <v>0</v>
      </c>
      <c r="K57" s="585">
        <f t="shared" si="22"/>
        <v>0</v>
      </c>
    </row>
    <row r="58" spans="1:13" hidden="1" x14ac:dyDescent="0.6">
      <c r="A58" s="559" t="s">
        <v>407</v>
      </c>
      <c r="B58" s="575">
        <f>'P&amp;L (QB)'!B45</f>
        <v>0</v>
      </c>
      <c r="C58" s="586"/>
      <c r="D58" s="566"/>
      <c r="K58" s="571"/>
    </row>
    <row r="59" spans="1:13" hidden="1" x14ac:dyDescent="0.6">
      <c r="A59" s="559" t="s">
        <v>408</v>
      </c>
      <c r="B59" s="575">
        <f>'P&amp;L (QB)'!B46</f>
        <v>0</v>
      </c>
      <c r="C59" s="586"/>
      <c r="D59" s="574">
        <v>0</v>
      </c>
      <c r="K59" s="571">
        <f>SUM(G59:J59)</f>
        <v>0</v>
      </c>
    </row>
    <row r="60" spans="1:13" hidden="1" x14ac:dyDescent="0.6">
      <c r="A60" s="559" t="s">
        <v>409</v>
      </c>
      <c r="B60" s="575">
        <f>'P&amp;L (QB)'!B47</f>
        <v>0</v>
      </c>
      <c r="C60" s="586"/>
      <c r="D60" s="574">
        <v>0</v>
      </c>
      <c r="K60" s="571">
        <f>SUM(G60:J60)</f>
        <v>0</v>
      </c>
    </row>
    <row r="61" spans="1:13" hidden="1" x14ac:dyDescent="0.6">
      <c r="A61" s="559" t="s">
        <v>410</v>
      </c>
      <c r="B61" s="575">
        <f>'P&amp;L (QB)'!B48</f>
        <v>0</v>
      </c>
      <c r="C61" s="586"/>
      <c r="D61" s="574">
        <v>0</v>
      </c>
      <c r="K61" s="571">
        <f>SUM(G61:J61)</f>
        <v>0</v>
      </c>
    </row>
    <row r="62" spans="1:13" x14ac:dyDescent="0.6">
      <c r="A62" s="559" t="s">
        <v>11</v>
      </c>
      <c r="B62" s="602">
        <f>(((((((((B30)+(B39))+(B45))+(B48))+(B51))+(B57))+(B58))+(B59))+(B60))+(B61)</f>
        <v>1969113.72</v>
      </c>
      <c r="C62" s="603">
        <f t="shared" ref="C62:E62" si="23">(((((((((C30)+(C39))+(C45))+(C48))+(C51))+(C57))+(C58))+(C59))+(C60))+(C61)</f>
        <v>3026229.8000000003</v>
      </c>
      <c r="D62" s="604">
        <f>(((((((((D30)+(D39))+(D45))+(D48))+(D51))+(D57))+(D58))+(D59))+(D60))+(D61)</f>
        <v>2561194.7200000002</v>
      </c>
      <c r="E62" s="605">
        <f t="shared" si="23"/>
        <v>-465035.07999999996</v>
      </c>
      <c r="G62" s="605">
        <f t="shared" ref="G62:K62" si="24">(((((((((G30)+(G39))+(G45))+(G48))+(G51))+(G57))+(G58))+(G59))+(G60))+(G61)</f>
        <v>22145</v>
      </c>
      <c r="H62" s="605">
        <f t="shared" si="24"/>
        <v>451508</v>
      </c>
      <c r="I62" s="605">
        <f t="shared" si="24"/>
        <v>98500</v>
      </c>
      <c r="J62" s="605">
        <f t="shared" si="24"/>
        <v>19928</v>
      </c>
      <c r="K62" s="605">
        <f t="shared" si="24"/>
        <v>592081</v>
      </c>
      <c r="M62" s="587"/>
    </row>
    <row r="63" spans="1:13" hidden="1" x14ac:dyDescent="0.6">
      <c r="A63" s="559" t="s">
        <v>411</v>
      </c>
      <c r="B63" s="575"/>
      <c r="C63" s="586"/>
      <c r="D63" s="566"/>
      <c r="K63" s="571"/>
    </row>
    <row r="64" spans="1:13" hidden="1" x14ac:dyDescent="0.6">
      <c r="A64" s="559" t="s">
        <v>412</v>
      </c>
      <c r="B64" s="575">
        <f>'P&amp;L (QB)'!B51</f>
        <v>0</v>
      </c>
      <c r="C64" s="586"/>
      <c r="D64" s="566"/>
      <c r="K64" s="571">
        <f>SUM(G64:J64)</f>
        <v>0</v>
      </c>
    </row>
    <row r="65" spans="1:11" hidden="1" x14ac:dyDescent="0.6">
      <c r="A65" s="559" t="s">
        <v>413</v>
      </c>
      <c r="B65" s="575">
        <f>'P&amp;L (QB)'!B52</f>
        <v>0</v>
      </c>
      <c r="C65" s="586"/>
      <c r="D65" s="566"/>
      <c r="K65" s="571">
        <f>SUM(G65:J65)</f>
        <v>0</v>
      </c>
    </row>
    <row r="66" spans="1:11" hidden="1" x14ac:dyDescent="0.6">
      <c r="A66" s="559" t="s">
        <v>414</v>
      </c>
      <c r="B66" s="576">
        <f>'P&amp;L (QB)'!B53</f>
        <v>0</v>
      </c>
      <c r="C66" s="588"/>
      <c r="D66" s="590"/>
      <c r="E66" s="589"/>
      <c r="G66" s="589"/>
      <c r="H66" s="589"/>
      <c r="I66" s="589"/>
      <c r="J66" s="589"/>
      <c r="K66" s="580">
        <f>SUM(G66:J66)</f>
        <v>0</v>
      </c>
    </row>
    <row r="67" spans="1:11" hidden="1" x14ac:dyDescent="0.6">
      <c r="A67" s="559" t="s">
        <v>415</v>
      </c>
      <c r="B67" s="572">
        <f>((B64)+(B65))+(B66)</f>
        <v>0</v>
      </c>
      <c r="C67" s="591">
        <f>((C64)+(C65))+(C66)</f>
        <v>0</v>
      </c>
      <c r="D67" s="592">
        <v>0</v>
      </c>
      <c r="E67" s="593">
        <f t="shared" ref="E67" si="25">((E64)+(E65))+(E66)</f>
        <v>0</v>
      </c>
      <c r="G67" s="593">
        <f t="shared" ref="G67:K67" si="26">((G64)+(G65))+(G66)</f>
        <v>0</v>
      </c>
      <c r="H67" s="593">
        <f t="shared" si="26"/>
        <v>0</v>
      </c>
      <c r="I67" s="593">
        <f t="shared" si="26"/>
        <v>0</v>
      </c>
      <c r="J67" s="593">
        <f t="shared" si="26"/>
        <v>0</v>
      </c>
      <c r="K67" s="594">
        <f t="shared" si="26"/>
        <v>0</v>
      </c>
    </row>
    <row r="68" spans="1:11" hidden="1" x14ac:dyDescent="0.6">
      <c r="A68" s="559" t="s">
        <v>1</v>
      </c>
      <c r="B68" s="606">
        <f>(B62)-(B67)</f>
        <v>1969113.72</v>
      </c>
      <c r="C68" s="607">
        <f>(C62)-(C67)</f>
        <v>3026229.8000000003</v>
      </c>
      <c r="D68" s="608">
        <v>3280388.6500000004</v>
      </c>
      <c r="E68" s="609">
        <f t="shared" ref="E68" si="27">(E62)-(E67)</f>
        <v>-465035.07999999996</v>
      </c>
      <c r="G68" s="609">
        <f t="shared" ref="G68:I68" si="28">(G62)-(G67)</f>
        <v>22145</v>
      </c>
      <c r="H68" s="609">
        <f t="shared" si="28"/>
        <v>451508</v>
      </c>
      <c r="I68" s="609">
        <f t="shared" si="28"/>
        <v>98500</v>
      </c>
      <c r="J68" s="609">
        <f>(J62)-(J67)</f>
        <v>19928</v>
      </c>
      <c r="K68" s="609">
        <f>(K62)-(K67)</f>
        <v>592081</v>
      </c>
    </row>
    <row r="69" spans="1:11" x14ac:dyDescent="0.6">
      <c r="A69" s="559" t="s">
        <v>12</v>
      </c>
      <c r="B69" s="575"/>
      <c r="C69" s="586"/>
      <c r="D69" s="566"/>
      <c r="K69" s="571"/>
    </row>
    <row r="70" spans="1:11" x14ac:dyDescent="0.6">
      <c r="A70" s="559" t="s">
        <v>131</v>
      </c>
      <c r="B70" s="575"/>
      <c r="C70" s="586"/>
      <c r="D70" s="566"/>
      <c r="K70" s="571"/>
    </row>
    <row r="71" spans="1:11" x14ac:dyDescent="0.6">
      <c r="A71" s="559" t="s">
        <v>132</v>
      </c>
      <c r="B71" s="575"/>
      <c r="C71" s="586"/>
      <c r="D71" s="566"/>
      <c r="K71" s="571"/>
    </row>
    <row r="72" spans="1:11" x14ac:dyDescent="0.6">
      <c r="A72" s="559" t="s">
        <v>133</v>
      </c>
      <c r="B72" s="572">
        <f>'P&amp;L (QB)'!B59</f>
        <v>89266.72</v>
      </c>
      <c r="C72" s="610">
        <v>133900</v>
      </c>
      <c r="D72" s="574">
        <f t="shared" ref="D72:D82" si="29">K72+B72</f>
        <v>133900</v>
      </c>
      <c r="E72" s="587">
        <f>C72-D72</f>
        <v>0</v>
      </c>
      <c r="G72" s="570">
        <v>11158.32</v>
      </c>
      <c r="H72" s="570">
        <v>11158.32</v>
      </c>
      <c r="I72" s="570">
        <v>11158.32</v>
      </c>
      <c r="J72" s="570">
        <v>11158.32</v>
      </c>
      <c r="K72" s="570">
        <f t="shared" ref="K72:K83" si="30">SUM(G72:J72)</f>
        <v>44633.279999999999</v>
      </c>
    </row>
    <row r="73" spans="1:11" x14ac:dyDescent="0.6">
      <c r="A73" s="559" t="s">
        <v>416</v>
      </c>
      <c r="B73" s="575">
        <f>'P&amp;L (QB)'!B60</f>
        <v>0</v>
      </c>
      <c r="C73" s="610">
        <v>0</v>
      </c>
      <c r="D73" s="574">
        <f t="shared" si="29"/>
        <v>0</v>
      </c>
      <c r="E73" s="570">
        <f t="shared" ref="E73:E83" si="31">C73-D73</f>
        <v>0</v>
      </c>
      <c r="G73" s="570"/>
      <c r="H73" s="570"/>
      <c r="I73" s="570"/>
      <c r="J73" s="570"/>
      <c r="K73" s="570">
        <f t="shared" si="30"/>
        <v>0</v>
      </c>
    </row>
    <row r="74" spans="1:11" x14ac:dyDescent="0.6">
      <c r="A74" s="559" t="s">
        <v>417</v>
      </c>
      <c r="B74" s="575">
        <f>'P&amp;L (QB)'!B61</f>
        <v>0</v>
      </c>
      <c r="C74" s="610">
        <v>0</v>
      </c>
      <c r="D74" s="574">
        <f t="shared" si="29"/>
        <v>0</v>
      </c>
      <c r="E74" s="570">
        <f t="shared" si="31"/>
        <v>0</v>
      </c>
      <c r="G74" s="570"/>
      <c r="H74" s="570"/>
      <c r="I74" s="570"/>
      <c r="J74" s="570"/>
      <c r="K74" s="570">
        <f t="shared" si="30"/>
        <v>0</v>
      </c>
    </row>
    <row r="75" spans="1:11" x14ac:dyDescent="0.6">
      <c r="A75" s="559" t="s">
        <v>255</v>
      </c>
      <c r="B75" s="572">
        <f>'P&amp;L (QB)'!B62</f>
        <v>50307.63</v>
      </c>
      <c r="C75" s="610">
        <v>80000</v>
      </c>
      <c r="D75" s="574">
        <f t="shared" si="29"/>
        <v>76975.63</v>
      </c>
      <c r="E75" s="570">
        <f t="shared" si="31"/>
        <v>3024.3699999999953</v>
      </c>
      <c r="G75" s="570">
        <v>6667</v>
      </c>
      <c r="H75" s="570">
        <v>6667</v>
      </c>
      <c r="I75" s="570">
        <v>6667</v>
      </c>
      <c r="J75" s="570">
        <v>6667</v>
      </c>
      <c r="K75" s="570">
        <f t="shared" si="30"/>
        <v>26668</v>
      </c>
    </row>
    <row r="76" spans="1:11" x14ac:dyDescent="0.6">
      <c r="A76" s="559" t="s">
        <v>134</v>
      </c>
      <c r="B76" s="572">
        <f>'P&amp;L (QB)'!B63</f>
        <v>51109.01</v>
      </c>
      <c r="C76" s="610">
        <v>86750</v>
      </c>
      <c r="D76" s="574">
        <f t="shared" si="29"/>
        <v>79441.010000000009</v>
      </c>
      <c r="E76" s="570">
        <f t="shared" si="31"/>
        <v>7308.9899999999907</v>
      </c>
      <c r="G76" s="570">
        <v>7083</v>
      </c>
      <c r="H76" s="570">
        <v>7083</v>
      </c>
      <c r="I76" s="570">
        <v>7083</v>
      </c>
      <c r="J76" s="570">
        <v>7083</v>
      </c>
      <c r="K76" s="570">
        <f t="shared" si="30"/>
        <v>28332</v>
      </c>
    </row>
    <row r="77" spans="1:11" x14ac:dyDescent="0.6">
      <c r="A77" s="559" t="s">
        <v>418</v>
      </c>
      <c r="B77" s="575">
        <f>'P&amp;L (QB)'!B64</f>
        <v>0</v>
      </c>
      <c r="C77" s="610">
        <v>0</v>
      </c>
      <c r="D77" s="574">
        <f t="shared" si="29"/>
        <v>0</v>
      </c>
      <c r="E77" s="570">
        <f t="shared" si="31"/>
        <v>0</v>
      </c>
      <c r="G77" s="570"/>
      <c r="H77" s="570"/>
      <c r="I77" s="570"/>
      <c r="J77" s="570"/>
      <c r="K77" s="570">
        <f t="shared" si="30"/>
        <v>0</v>
      </c>
    </row>
    <row r="78" spans="1:11" hidden="1" x14ac:dyDescent="0.6">
      <c r="A78" s="559" t="s">
        <v>419</v>
      </c>
      <c r="B78" s="575">
        <f>'P&amp;L (QB)'!B65</f>
        <v>0</v>
      </c>
      <c r="C78" s="586"/>
      <c r="D78" s="574">
        <f t="shared" si="29"/>
        <v>0</v>
      </c>
      <c r="E78" s="570">
        <f t="shared" si="31"/>
        <v>0</v>
      </c>
      <c r="G78" s="570"/>
      <c r="H78" s="570"/>
      <c r="I78" s="570"/>
      <c r="J78" s="570"/>
      <c r="K78" s="570">
        <f t="shared" si="30"/>
        <v>0</v>
      </c>
    </row>
    <row r="79" spans="1:11" x14ac:dyDescent="0.6">
      <c r="A79" s="559" t="s">
        <v>135</v>
      </c>
      <c r="B79" s="572">
        <f>'P&amp;L (QB)'!B66</f>
        <v>35100</v>
      </c>
      <c r="C79" s="610">
        <v>52650</v>
      </c>
      <c r="D79" s="574">
        <f t="shared" si="29"/>
        <v>52652</v>
      </c>
      <c r="E79" s="570">
        <f t="shared" si="31"/>
        <v>-2</v>
      </c>
      <c r="G79" s="570">
        <v>4388</v>
      </c>
      <c r="H79" s="570">
        <v>4388</v>
      </c>
      <c r="I79" s="570">
        <v>4388</v>
      </c>
      <c r="J79" s="570">
        <v>4388</v>
      </c>
      <c r="K79" s="570">
        <f t="shared" si="30"/>
        <v>17552</v>
      </c>
    </row>
    <row r="80" spans="1:11" x14ac:dyDescent="0.6">
      <c r="A80" s="559" t="s">
        <v>420</v>
      </c>
      <c r="B80" s="575">
        <f>'P&amp;L (QB)'!B67</f>
        <v>0</v>
      </c>
      <c r="C80" s="610">
        <v>0</v>
      </c>
      <c r="D80" s="574">
        <f t="shared" si="29"/>
        <v>0</v>
      </c>
      <c r="E80" s="570">
        <f t="shared" si="31"/>
        <v>0</v>
      </c>
      <c r="G80" s="570"/>
      <c r="H80" s="570"/>
      <c r="I80" s="570"/>
      <c r="J80" s="570"/>
      <c r="K80" s="570">
        <f t="shared" si="30"/>
        <v>0</v>
      </c>
    </row>
    <row r="81" spans="1:13" x14ac:dyDescent="0.6">
      <c r="A81" s="559" t="s">
        <v>421</v>
      </c>
      <c r="B81" s="575">
        <f>'P&amp;L (QB)'!B68</f>
        <v>0</v>
      </c>
      <c r="C81" s="610">
        <v>0</v>
      </c>
      <c r="D81" s="574">
        <f t="shared" si="29"/>
        <v>0</v>
      </c>
      <c r="E81" s="570">
        <f t="shared" si="31"/>
        <v>0</v>
      </c>
      <c r="G81" s="570"/>
      <c r="H81" s="570"/>
      <c r="I81" s="570"/>
      <c r="J81" s="570"/>
      <c r="K81" s="570">
        <f t="shared" si="30"/>
        <v>0</v>
      </c>
    </row>
    <row r="82" spans="1:13" x14ac:dyDescent="0.6">
      <c r="A82" s="559" t="s">
        <v>422</v>
      </c>
      <c r="B82" s="575">
        <f>'P&amp;L (QB)'!B69</f>
        <v>0</v>
      </c>
      <c r="C82" s="586"/>
      <c r="D82" s="574">
        <f t="shared" si="29"/>
        <v>0</v>
      </c>
      <c r="E82" s="570">
        <f t="shared" si="31"/>
        <v>0</v>
      </c>
      <c r="G82" s="570"/>
      <c r="H82" s="570"/>
      <c r="I82" s="570"/>
      <c r="J82" s="570"/>
      <c r="K82" s="570">
        <f t="shared" si="30"/>
        <v>0</v>
      </c>
    </row>
    <row r="83" spans="1:13" ht="39" x14ac:dyDescent="0.6">
      <c r="A83" s="696" t="s">
        <v>423</v>
      </c>
      <c r="B83" s="719">
        <f>'P&amp;L (QB)'!B70</f>
        <v>2910</v>
      </c>
      <c r="C83" s="720">
        <v>16500</v>
      </c>
      <c r="D83" s="722">
        <v>4125</v>
      </c>
      <c r="E83" s="721">
        <f t="shared" si="31"/>
        <v>12375</v>
      </c>
      <c r="F83" s="694"/>
      <c r="G83" s="721">
        <v>2931.25</v>
      </c>
      <c r="H83" s="721">
        <v>2931.25</v>
      </c>
      <c r="I83" s="721">
        <v>2931.25</v>
      </c>
      <c r="J83" s="721">
        <v>2931.25</v>
      </c>
      <c r="K83" s="721">
        <f t="shared" si="30"/>
        <v>11725</v>
      </c>
      <c r="L83" s="557" t="s">
        <v>922</v>
      </c>
      <c r="M83" s="633" t="s">
        <v>923</v>
      </c>
    </row>
    <row r="84" spans="1:13" x14ac:dyDescent="0.6">
      <c r="A84" s="559" t="s">
        <v>136</v>
      </c>
      <c r="B84" s="581">
        <f>SUM(B72:B83)</f>
        <v>228693.36000000002</v>
      </c>
      <c r="C84" s="582">
        <f t="shared" ref="C84:E84" si="32">SUM(C72:C83)</f>
        <v>369800</v>
      </c>
      <c r="D84" s="583">
        <f t="shared" si="32"/>
        <v>347093.64</v>
      </c>
      <c r="E84" s="584">
        <f t="shared" si="32"/>
        <v>22706.359999999986</v>
      </c>
      <c r="G84" s="584">
        <f t="shared" ref="G84:K84" si="33">SUM(G72:G83)</f>
        <v>32227.57</v>
      </c>
      <c r="H84" s="584">
        <f t="shared" si="33"/>
        <v>32227.57</v>
      </c>
      <c r="I84" s="584">
        <f t="shared" si="33"/>
        <v>32227.57</v>
      </c>
      <c r="J84" s="584">
        <f t="shared" si="33"/>
        <v>32227.57</v>
      </c>
      <c r="K84" s="584">
        <f t="shared" si="33"/>
        <v>128910.28</v>
      </c>
    </row>
    <row r="85" spans="1:13" x14ac:dyDescent="0.6">
      <c r="A85" s="559" t="s">
        <v>164</v>
      </c>
      <c r="B85" s="575"/>
      <c r="C85" s="586"/>
      <c r="D85" s="566"/>
      <c r="G85" s="570"/>
      <c r="H85" s="570"/>
      <c r="I85" s="570"/>
      <c r="J85" s="570"/>
      <c r="K85" s="570"/>
    </row>
    <row r="86" spans="1:13" hidden="1" x14ac:dyDescent="0.6">
      <c r="A86" s="559" t="s">
        <v>424</v>
      </c>
      <c r="B86" s="575"/>
      <c r="C86" s="586"/>
      <c r="D86" s="574">
        <v>0</v>
      </c>
      <c r="E86" s="587">
        <f>D86-C86</f>
        <v>0</v>
      </c>
      <c r="G86" s="570"/>
      <c r="H86" s="570"/>
      <c r="I86" s="570"/>
      <c r="J86" s="570"/>
      <c r="K86" s="570">
        <f t="shared" ref="K86:K99" si="34">SUM(G86:J86)</f>
        <v>0</v>
      </c>
    </row>
    <row r="87" spans="1:13" hidden="1" x14ac:dyDescent="0.6">
      <c r="A87" s="559" t="s">
        <v>425</v>
      </c>
      <c r="B87" s="575"/>
      <c r="C87" s="586"/>
      <c r="D87" s="574">
        <v>0</v>
      </c>
      <c r="E87" s="570">
        <f t="shared" ref="E87:E89" si="35">D87-C87</f>
        <v>0</v>
      </c>
      <c r="G87" s="570"/>
      <c r="H87" s="570"/>
      <c r="I87" s="570"/>
      <c r="J87" s="570"/>
      <c r="K87" s="570">
        <f t="shared" si="34"/>
        <v>0</v>
      </c>
    </row>
    <row r="88" spans="1:13" hidden="1" x14ac:dyDescent="0.6">
      <c r="A88" s="559" t="s">
        <v>426</v>
      </c>
      <c r="B88" s="575"/>
      <c r="C88" s="586"/>
      <c r="D88" s="574">
        <v>0</v>
      </c>
      <c r="E88" s="570">
        <f t="shared" si="35"/>
        <v>0</v>
      </c>
      <c r="G88" s="570"/>
      <c r="H88" s="570"/>
      <c r="I88" s="570"/>
      <c r="J88" s="570"/>
      <c r="K88" s="570">
        <f t="shared" si="34"/>
        <v>0</v>
      </c>
    </row>
    <row r="89" spans="1:13" hidden="1" x14ac:dyDescent="0.6">
      <c r="A89" s="559" t="s">
        <v>427</v>
      </c>
      <c r="B89" s="575"/>
      <c r="C89" s="586"/>
      <c r="D89" s="574">
        <v>0</v>
      </c>
      <c r="E89" s="570">
        <f t="shared" si="35"/>
        <v>0</v>
      </c>
      <c r="G89" s="570"/>
      <c r="H89" s="570"/>
      <c r="I89" s="570"/>
      <c r="J89" s="570"/>
      <c r="K89" s="570">
        <f t="shared" si="34"/>
        <v>0</v>
      </c>
    </row>
    <row r="90" spans="1:13" x14ac:dyDescent="0.6">
      <c r="A90" s="559" t="s">
        <v>256</v>
      </c>
      <c r="B90" s="572">
        <f>'P&amp;L (QB)'!B77</f>
        <v>183242.37</v>
      </c>
      <c r="C90" s="586">
        <v>292333</v>
      </c>
      <c r="D90" s="574">
        <f t="shared" ref="D90:D98" si="36">K90+B90</f>
        <v>310470.65000000002</v>
      </c>
      <c r="E90" s="570">
        <f t="shared" ref="E90:E99" si="37">C90-D90</f>
        <v>-18137.650000000023</v>
      </c>
      <c r="G90" s="570">
        <v>31807.070000000007</v>
      </c>
      <c r="H90" s="570">
        <v>31807.070000000007</v>
      </c>
      <c r="I90" s="570">
        <v>31807.070000000007</v>
      </c>
      <c r="J90" s="570">
        <v>31807.070000000007</v>
      </c>
      <c r="K90" s="570">
        <f t="shared" si="34"/>
        <v>127228.28000000003</v>
      </c>
    </row>
    <row r="91" spans="1:13" hidden="1" x14ac:dyDescent="0.6">
      <c r="A91" s="559" t="s">
        <v>428</v>
      </c>
      <c r="B91" s="575">
        <f>'P&amp;L (QB)'!B78</f>
        <v>0</v>
      </c>
      <c r="C91" s="586"/>
      <c r="D91" s="574">
        <f t="shared" si="36"/>
        <v>0</v>
      </c>
      <c r="E91" s="570">
        <f t="shared" si="37"/>
        <v>0</v>
      </c>
      <c r="G91" s="570"/>
      <c r="H91" s="570"/>
      <c r="I91" s="570"/>
      <c r="J91" s="570"/>
      <c r="K91" s="570">
        <f t="shared" si="34"/>
        <v>0</v>
      </c>
    </row>
    <row r="92" spans="1:13" x14ac:dyDescent="0.6">
      <c r="A92" s="559" t="s">
        <v>257</v>
      </c>
      <c r="B92" s="572">
        <f>'P&amp;L (QB)'!B79</f>
        <v>120701.13</v>
      </c>
      <c r="C92" s="586">
        <v>251000</v>
      </c>
      <c r="D92" s="574">
        <f t="shared" si="36"/>
        <v>198294.11</v>
      </c>
      <c r="E92" s="570">
        <f t="shared" si="37"/>
        <v>52705.890000000014</v>
      </c>
      <c r="G92" s="570">
        <v>19398.244999999995</v>
      </c>
      <c r="H92" s="570">
        <v>19398.244999999995</v>
      </c>
      <c r="I92" s="570">
        <v>19398.244999999995</v>
      </c>
      <c r="J92" s="570">
        <v>19398.244999999995</v>
      </c>
      <c r="K92" s="570">
        <f t="shared" si="34"/>
        <v>77592.979999999981</v>
      </c>
    </row>
    <row r="93" spans="1:13" hidden="1" x14ac:dyDescent="0.6">
      <c r="A93" s="559" t="s">
        <v>429</v>
      </c>
      <c r="B93" s="575">
        <f>'P&amp;L (QB)'!B80</f>
        <v>0</v>
      </c>
      <c r="C93" s="586"/>
      <c r="D93" s="574">
        <f t="shared" si="36"/>
        <v>0</v>
      </c>
      <c r="E93" s="570">
        <f t="shared" si="37"/>
        <v>0</v>
      </c>
      <c r="G93" s="570"/>
      <c r="H93" s="570"/>
      <c r="I93" s="570"/>
      <c r="J93" s="570"/>
      <c r="K93" s="570">
        <f t="shared" si="34"/>
        <v>0</v>
      </c>
    </row>
    <row r="94" spans="1:13" hidden="1" x14ac:dyDescent="0.6">
      <c r="A94" s="559" t="s">
        <v>430</v>
      </c>
      <c r="B94" s="575">
        <f>'P&amp;L (QB)'!B81</f>
        <v>0</v>
      </c>
      <c r="C94" s="586"/>
      <c r="D94" s="574">
        <f t="shared" si="36"/>
        <v>0</v>
      </c>
      <c r="E94" s="570">
        <f t="shared" si="37"/>
        <v>0</v>
      </c>
      <c r="G94" s="570"/>
      <c r="H94" s="570"/>
      <c r="I94" s="570"/>
      <c r="J94" s="570"/>
      <c r="K94" s="570">
        <f t="shared" si="34"/>
        <v>0</v>
      </c>
    </row>
    <row r="95" spans="1:13" x14ac:dyDescent="0.6">
      <c r="A95" s="559" t="s">
        <v>258</v>
      </c>
      <c r="B95" s="575">
        <f>'P&amp;L (QB)'!B82</f>
        <v>0</v>
      </c>
      <c r="C95" s="586"/>
      <c r="D95" s="574">
        <f t="shared" si="36"/>
        <v>0</v>
      </c>
      <c r="E95" s="570">
        <f t="shared" si="37"/>
        <v>0</v>
      </c>
      <c r="G95" s="570"/>
      <c r="H95" s="570"/>
      <c r="I95" s="570"/>
      <c r="J95" s="570"/>
      <c r="K95" s="570">
        <f t="shared" si="34"/>
        <v>0</v>
      </c>
    </row>
    <row r="96" spans="1:13" x14ac:dyDescent="0.6">
      <c r="A96" s="559" t="s">
        <v>431</v>
      </c>
      <c r="B96" s="575">
        <f>'P&amp;L (QB)'!B83</f>
        <v>0</v>
      </c>
      <c r="C96" s="586"/>
      <c r="D96" s="574">
        <f t="shared" si="36"/>
        <v>0</v>
      </c>
      <c r="E96" s="570">
        <f t="shared" si="37"/>
        <v>0</v>
      </c>
      <c r="G96" s="570"/>
      <c r="H96" s="570"/>
      <c r="I96" s="570"/>
      <c r="J96" s="570"/>
      <c r="K96" s="570">
        <f t="shared" si="34"/>
        <v>0</v>
      </c>
    </row>
    <row r="97" spans="1:13" x14ac:dyDescent="0.6">
      <c r="A97" s="559" t="s">
        <v>260</v>
      </c>
      <c r="B97" s="572">
        <f>'P&amp;L (QB)'!B84</f>
        <v>34221.050000000003</v>
      </c>
      <c r="C97" s="586">
        <v>60500</v>
      </c>
      <c r="D97" s="574">
        <f t="shared" si="36"/>
        <v>59381.32</v>
      </c>
      <c r="E97" s="570">
        <f t="shared" si="37"/>
        <v>1118.6800000000003</v>
      </c>
      <c r="G97" s="570">
        <v>6290.0674999999992</v>
      </c>
      <c r="H97" s="570">
        <v>6290.0674999999992</v>
      </c>
      <c r="I97" s="570">
        <v>6290.0674999999992</v>
      </c>
      <c r="J97" s="570">
        <v>6290.0674999999992</v>
      </c>
      <c r="K97" s="570">
        <f t="shared" si="34"/>
        <v>25160.269999999997</v>
      </c>
    </row>
    <row r="98" spans="1:13" x14ac:dyDescent="0.6">
      <c r="A98" s="559" t="s">
        <v>261</v>
      </c>
      <c r="B98" s="575">
        <f>'P&amp;L (QB)'!B85</f>
        <v>38449.519999999997</v>
      </c>
      <c r="C98" s="586">
        <v>39000</v>
      </c>
      <c r="D98" s="574">
        <f t="shared" si="36"/>
        <v>63358.05</v>
      </c>
      <c r="E98" s="570">
        <f t="shared" si="37"/>
        <v>-24358.050000000003</v>
      </c>
      <c r="G98" s="570">
        <v>6227.1325000000015</v>
      </c>
      <c r="H98" s="570">
        <v>6227.1325000000015</v>
      </c>
      <c r="I98" s="570">
        <v>6227.1325000000015</v>
      </c>
      <c r="J98" s="570">
        <v>6227.1325000000015</v>
      </c>
      <c r="K98" s="570">
        <f t="shared" si="34"/>
        <v>24908.530000000006</v>
      </c>
    </row>
    <row r="99" spans="1:13" ht="78" x14ac:dyDescent="0.6">
      <c r="A99" s="696" t="s">
        <v>262</v>
      </c>
      <c r="B99" s="719">
        <f>'P&amp;L (QB)'!B86</f>
        <v>21937.5</v>
      </c>
      <c r="C99" s="721">
        <v>60000</v>
      </c>
      <c r="D99" s="721">
        <v>20000</v>
      </c>
      <c r="E99" s="721">
        <f t="shared" si="37"/>
        <v>40000</v>
      </c>
      <c r="F99" s="694"/>
      <c r="G99" s="721">
        <v>5000</v>
      </c>
      <c r="H99" s="721">
        <v>5000</v>
      </c>
      <c r="I99" s="721">
        <v>5000</v>
      </c>
      <c r="J99" s="721">
        <v>5000</v>
      </c>
      <c r="K99" s="721">
        <f t="shared" si="34"/>
        <v>20000</v>
      </c>
      <c r="L99" s="557" t="s">
        <v>924</v>
      </c>
      <c r="M99" s="633" t="s">
        <v>925</v>
      </c>
    </row>
    <row r="100" spans="1:13" x14ac:dyDescent="0.6">
      <c r="A100" s="559" t="s">
        <v>165</v>
      </c>
      <c r="B100" s="581">
        <f>SUM(B86:B99)</f>
        <v>398551.57</v>
      </c>
      <c r="C100" s="582">
        <f t="shared" ref="C100:E100" si="38">SUM(C86:C99)</f>
        <v>702833</v>
      </c>
      <c r="D100" s="583">
        <f t="shared" si="38"/>
        <v>651504.13</v>
      </c>
      <c r="E100" s="584">
        <f t="shared" si="38"/>
        <v>51328.869999999988</v>
      </c>
      <c r="G100" s="584">
        <f t="shared" ref="G100:K100" si="39">SUM(G86:G99)</f>
        <v>68722.514999999999</v>
      </c>
      <c r="H100" s="584">
        <f t="shared" si="39"/>
        <v>68722.514999999999</v>
      </c>
      <c r="I100" s="584">
        <f t="shared" si="39"/>
        <v>68722.514999999999</v>
      </c>
      <c r="J100" s="584">
        <f t="shared" si="39"/>
        <v>68722.514999999999</v>
      </c>
      <c r="K100" s="584">
        <f t="shared" si="39"/>
        <v>274890.06</v>
      </c>
    </row>
    <row r="101" spans="1:13" x14ac:dyDescent="0.6">
      <c r="A101" s="559" t="s">
        <v>432</v>
      </c>
      <c r="B101" s="575"/>
      <c r="C101" s="586"/>
      <c r="D101" s="566"/>
      <c r="G101" s="570"/>
      <c r="H101" s="570"/>
      <c r="I101" s="570"/>
      <c r="J101" s="570"/>
      <c r="K101" s="570"/>
    </row>
    <row r="102" spans="1:13" x14ac:dyDescent="0.6">
      <c r="A102" s="559" t="s">
        <v>433</v>
      </c>
      <c r="B102" s="576"/>
      <c r="C102" s="588"/>
      <c r="D102" s="590"/>
      <c r="E102" s="589"/>
      <c r="G102" s="579"/>
      <c r="H102" s="579"/>
      <c r="I102" s="579"/>
      <c r="J102" s="579"/>
      <c r="K102" s="579">
        <f>SUM(G102:J102)</f>
        <v>0</v>
      </c>
    </row>
    <row r="103" spans="1:13" x14ac:dyDescent="0.6">
      <c r="A103" s="559" t="s">
        <v>434</v>
      </c>
      <c r="B103" s="581">
        <f>SUM(B102)</f>
        <v>0</v>
      </c>
      <c r="C103" s="582">
        <f>SUM(C102)</f>
        <v>0</v>
      </c>
      <c r="D103" s="583">
        <f>SUM(D101:D102)</f>
        <v>0</v>
      </c>
      <c r="E103" s="584">
        <f t="shared" ref="E103:K103" si="40">SUM(E102)</f>
        <v>0</v>
      </c>
      <c r="G103" s="584">
        <f t="shared" si="40"/>
        <v>0</v>
      </c>
      <c r="H103" s="584">
        <f t="shared" si="40"/>
        <v>0</v>
      </c>
      <c r="I103" s="584">
        <f t="shared" si="40"/>
        <v>0</v>
      </c>
      <c r="J103" s="584">
        <f t="shared" si="40"/>
        <v>0</v>
      </c>
      <c r="K103" s="584">
        <f t="shared" si="40"/>
        <v>0</v>
      </c>
    </row>
    <row r="104" spans="1:13" x14ac:dyDescent="0.6">
      <c r="A104" s="559" t="s">
        <v>137</v>
      </c>
      <c r="B104" s="575"/>
      <c r="C104" s="586"/>
      <c r="D104" s="566"/>
      <c r="G104" s="570"/>
      <c r="H104" s="570"/>
      <c r="I104" s="570"/>
      <c r="J104" s="570"/>
      <c r="K104" s="570"/>
    </row>
    <row r="105" spans="1:13" x14ac:dyDescent="0.6">
      <c r="A105" s="559" t="s">
        <v>435</v>
      </c>
      <c r="B105" s="575">
        <f>'P&amp;L (QB)'!B92</f>
        <v>0</v>
      </c>
      <c r="C105" s="586"/>
      <c r="D105" s="566"/>
      <c r="G105" s="570"/>
      <c r="H105" s="570"/>
      <c r="I105" s="570"/>
      <c r="J105" s="570"/>
      <c r="K105" s="570">
        <f t="shared" ref="K105:K116" si="41">SUM(G105:J105)</f>
        <v>0</v>
      </c>
    </row>
    <row r="106" spans="1:13" x14ac:dyDescent="0.6">
      <c r="A106" s="559" t="s">
        <v>138</v>
      </c>
      <c r="B106" s="572">
        <f>'P&amp;L (QB)'!B93</f>
        <v>12494.79</v>
      </c>
      <c r="C106" s="586">
        <v>10711</v>
      </c>
      <c r="D106" s="574">
        <f t="shared" ref="D106:D116" si="42">K106+B106</f>
        <v>13094.79</v>
      </c>
      <c r="E106" s="570">
        <f t="shared" ref="E106:E115" si="43">C106-D106</f>
        <v>-2383.7900000000009</v>
      </c>
      <c r="G106" s="570">
        <v>150</v>
      </c>
      <c r="H106" s="570">
        <v>150</v>
      </c>
      <c r="I106" s="570">
        <v>150</v>
      </c>
      <c r="J106" s="570">
        <v>150</v>
      </c>
      <c r="K106" s="570">
        <f t="shared" si="41"/>
        <v>600</v>
      </c>
    </row>
    <row r="107" spans="1:13" x14ac:dyDescent="0.6">
      <c r="A107" s="559" t="s">
        <v>139</v>
      </c>
      <c r="B107" s="572">
        <f>'P&amp;L (QB)'!B94</f>
        <v>36372.300000000003</v>
      </c>
      <c r="C107" s="586">
        <v>66410</v>
      </c>
      <c r="D107" s="574">
        <f t="shared" si="42"/>
        <v>61989.17108</v>
      </c>
      <c r="E107" s="570">
        <f t="shared" si="43"/>
        <v>4420.8289199999999</v>
      </c>
      <c r="G107" s="570">
        <v>6404.2177699999993</v>
      </c>
      <c r="H107" s="570">
        <v>6404.2177699999993</v>
      </c>
      <c r="I107" s="570">
        <v>6404.2177699999993</v>
      </c>
      <c r="J107" s="570">
        <v>6404.2177699999993</v>
      </c>
      <c r="K107" s="570">
        <f t="shared" si="41"/>
        <v>25616.871079999997</v>
      </c>
    </row>
    <row r="108" spans="1:13" x14ac:dyDescent="0.6">
      <c r="A108" s="559" t="s">
        <v>140</v>
      </c>
      <c r="B108" s="572">
        <f>'P&amp;L (QB)'!B95</f>
        <v>8506.43</v>
      </c>
      <c r="C108" s="586">
        <v>15531</v>
      </c>
      <c r="D108" s="574">
        <f t="shared" si="42"/>
        <v>14497.47243</v>
      </c>
      <c r="E108" s="570">
        <f t="shared" si="43"/>
        <v>1033.5275700000002</v>
      </c>
      <c r="G108" s="570">
        <v>1497.7606074999999</v>
      </c>
      <c r="H108" s="570">
        <v>1497.7606074999999</v>
      </c>
      <c r="I108" s="570">
        <v>1497.7606074999999</v>
      </c>
      <c r="J108" s="570">
        <v>1497.7606074999999</v>
      </c>
      <c r="K108" s="570">
        <f t="shared" si="41"/>
        <v>5991.0424299999995</v>
      </c>
    </row>
    <row r="109" spans="1:13" hidden="1" x14ac:dyDescent="0.6">
      <c r="A109" s="559" t="s">
        <v>141</v>
      </c>
      <c r="B109" s="575">
        <f>'P&amp;L (QB)'!B96</f>
        <v>0</v>
      </c>
      <c r="C109" s="586"/>
      <c r="D109" s="574">
        <f t="shared" si="42"/>
        <v>0</v>
      </c>
      <c r="E109" s="570">
        <f t="shared" si="43"/>
        <v>0</v>
      </c>
      <c r="G109" s="570"/>
      <c r="H109" s="570"/>
      <c r="I109" s="570"/>
      <c r="J109" s="570"/>
      <c r="K109" s="570">
        <f t="shared" si="41"/>
        <v>0</v>
      </c>
    </row>
    <row r="110" spans="1:13" hidden="1" x14ac:dyDescent="0.6">
      <c r="A110" s="559" t="s">
        <v>142</v>
      </c>
      <c r="B110" s="575">
        <f>'P&amp;L (QB)'!B97</f>
        <v>0</v>
      </c>
      <c r="C110" s="586"/>
      <c r="D110" s="574">
        <f t="shared" si="42"/>
        <v>0</v>
      </c>
      <c r="E110" s="570">
        <f t="shared" si="43"/>
        <v>0</v>
      </c>
      <c r="G110" s="570"/>
      <c r="H110" s="570"/>
      <c r="I110" s="570"/>
      <c r="J110" s="570"/>
      <c r="K110" s="570">
        <f t="shared" si="41"/>
        <v>0</v>
      </c>
    </row>
    <row r="111" spans="1:13" hidden="1" x14ac:dyDescent="0.6">
      <c r="A111" s="559" t="s">
        <v>143</v>
      </c>
      <c r="B111" s="575">
        <f>'P&amp;L (QB)'!B98</f>
        <v>0</v>
      </c>
      <c r="C111" s="586"/>
      <c r="D111" s="574">
        <f t="shared" si="42"/>
        <v>0</v>
      </c>
      <c r="E111" s="570">
        <f t="shared" si="43"/>
        <v>0</v>
      </c>
      <c r="G111" s="570"/>
      <c r="H111" s="570"/>
      <c r="I111" s="570"/>
      <c r="J111" s="570"/>
      <c r="K111" s="570">
        <f t="shared" si="41"/>
        <v>0</v>
      </c>
    </row>
    <row r="112" spans="1:13" hidden="1" x14ac:dyDescent="0.6">
      <c r="A112" s="559" t="s">
        <v>144</v>
      </c>
      <c r="B112" s="575">
        <f>'P&amp;L (QB)'!B99</f>
        <v>0</v>
      </c>
      <c r="C112" s="586"/>
      <c r="D112" s="574">
        <f t="shared" si="42"/>
        <v>0</v>
      </c>
      <c r="E112" s="570">
        <f t="shared" si="43"/>
        <v>0</v>
      </c>
      <c r="G112" s="570"/>
      <c r="H112" s="570"/>
      <c r="I112" s="570"/>
      <c r="J112" s="570"/>
      <c r="K112" s="570">
        <f t="shared" si="41"/>
        <v>0</v>
      </c>
    </row>
    <row r="113" spans="1:11" hidden="1" x14ac:dyDescent="0.6">
      <c r="A113" s="559" t="s">
        <v>145</v>
      </c>
      <c r="B113" s="575">
        <f>'P&amp;L (QB)'!B100</f>
        <v>0</v>
      </c>
      <c r="C113" s="586"/>
      <c r="D113" s="574">
        <f t="shared" si="42"/>
        <v>0</v>
      </c>
      <c r="E113" s="570">
        <f t="shared" si="43"/>
        <v>0</v>
      </c>
      <c r="G113" s="570"/>
      <c r="H113" s="570"/>
      <c r="I113" s="570"/>
      <c r="J113" s="570"/>
      <c r="K113" s="570">
        <f t="shared" si="41"/>
        <v>0</v>
      </c>
    </row>
    <row r="114" spans="1:11" x14ac:dyDescent="0.6">
      <c r="A114" s="559" t="s">
        <v>146</v>
      </c>
      <c r="B114" s="572">
        <f>'P&amp;L (QB)'!B101</f>
        <v>801.27</v>
      </c>
      <c r="C114" s="586">
        <v>1000</v>
      </c>
      <c r="D114" s="574">
        <f t="shared" si="42"/>
        <v>1201.27</v>
      </c>
      <c r="E114" s="570">
        <f t="shared" si="43"/>
        <v>-201.26999999999998</v>
      </c>
      <c r="G114" s="570">
        <v>100</v>
      </c>
      <c r="H114" s="570">
        <v>100</v>
      </c>
      <c r="I114" s="570">
        <v>100</v>
      </c>
      <c r="J114" s="570">
        <v>100</v>
      </c>
      <c r="K114" s="570">
        <f t="shared" si="41"/>
        <v>400</v>
      </c>
    </row>
    <row r="115" spans="1:11" x14ac:dyDescent="0.6">
      <c r="A115" s="559" t="s">
        <v>436</v>
      </c>
      <c r="B115" s="575">
        <f>'P&amp;L (QB)'!B102</f>
        <v>0</v>
      </c>
      <c r="C115" s="586"/>
      <c r="D115" s="574">
        <f t="shared" si="42"/>
        <v>0</v>
      </c>
      <c r="E115" s="570">
        <f t="shared" si="43"/>
        <v>0</v>
      </c>
      <c r="G115" s="570"/>
      <c r="H115" s="570"/>
      <c r="I115" s="570"/>
      <c r="J115" s="570"/>
      <c r="K115" s="570">
        <f t="shared" si="41"/>
        <v>0</v>
      </c>
    </row>
    <row r="116" spans="1:11" x14ac:dyDescent="0.6">
      <c r="A116" s="559" t="s">
        <v>147</v>
      </c>
      <c r="B116" s="611">
        <f>'P&amp;L (QB)'!B103</f>
        <v>-371.01</v>
      </c>
      <c r="C116" s="588"/>
      <c r="D116" s="578">
        <f t="shared" si="42"/>
        <v>128.99</v>
      </c>
      <c r="E116" s="579">
        <f>C116-D116</f>
        <v>-128.99</v>
      </c>
      <c r="G116" s="579">
        <v>125</v>
      </c>
      <c r="H116" s="579">
        <v>125</v>
      </c>
      <c r="I116" s="579">
        <v>125</v>
      </c>
      <c r="J116" s="579">
        <v>125</v>
      </c>
      <c r="K116" s="579">
        <f t="shared" si="41"/>
        <v>500</v>
      </c>
    </row>
    <row r="117" spans="1:11" x14ac:dyDescent="0.6">
      <c r="A117" s="559" t="s">
        <v>148</v>
      </c>
      <c r="B117" s="581">
        <f>SUM(B106:B116)</f>
        <v>57803.78</v>
      </c>
      <c r="C117" s="582">
        <f t="shared" ref="C117:E117" si="44">SUM(C106:C116)</f>
        <v>93652</v>
      </c>
      <c r="D117" s="583">
        <f t="shared" si="44"/>
        <v>90911.693510000012</v>
      </c>
      <c r="E117" s="584">
        <f t="shared" si="44"/>
        <v>2740.306489999999</v>
      </c>
      <c r="G117" s="584">
        <f t="shared" ref="G117:K117" si="45">SUM(G106:G116)</f>
        <v>8276.9783774999996</v>
      </c>
      <c r="H117" s="584">
        <f t="shared" si="45"/>
        <v>8276.9783774999996</v>
      </c>
      <c r="I117" s="584">
        <f t="shared" si="45"/>
        <v>8276.9783774999996</v>
      </c>
      <c r="J117" s="584">
        <f t="shared" si="45"/>
        <v>8276.9783774999996</v>
      </c>
      <c r="K117" s="584">
        <f t="shared" si="45"/>
        <v>33107.913509999998</v>
      </c>
    </row>
    <row r="118" spans="1:11" x14ac:dyDescent="0.6">
      <c r="A118" s="559" t="s">
        <v>149</v>
      </c>
      <c r="B118" s="575"/>
      <c r="C118" s="586"/>
      <c r="D118" s="566"/>
      <c r="G118" s="570"/>
      <c r="H118" s="570"/>
      <c r="I118" s="570"/>
      <c r="J118" s="570"/>
      <c r="K118" s="570"/>
    </row>
    <row r="119" spans="1:11" x14ac:dyDescent="0.6">
      <c r="A119" s="559" t="s">
        <v>150</v>
      </c>
      <c r="B119" s="572">
        <f>'P&amp;L (QB)'!B106</f>
        <v>49077.18</v>
      </c>
      <c r="C119" s="586">
        <v>91591</v>
      </c>
      <c r="D119" s="574">
        <f t="shared" ref="D119:D130" si="46">K119+B119</f>
        <v>81845.179999999993</v>
      </c>
      <c r="E119" s="570">
        <f t="shared" ref="E119:E130" si="47">C119-D119</f>
        <v>9745.820000000007</v>
      </c>
      <c r="G119" s="570">
        <v>8192</v>
      </c>
      <c r="H119" s="570">
        <v>8192</v>
      </c>
      <c r="I119" s="570">
        <v>8192</v>
      </c>
      <c r="J119" s="570">
        <v>8192</v>
      </c>
      <c r="K119" s="570">
        <f t="shared" ref="K119:K130" si="48">SUM(G119:J119)</f>
        <v>32768</v>
      </c>
    </row>
    <row r="120" spans="1:11" x14ac:dyDescent="0.6">
      <c r="A120" s="559" t="s">
        <v>151</v>
      </c>
      <c r="B120" s="572">
        <f>'P&amp;L (QB)'!B107</f>
        <v>2249.0300000000002</v>
      </c>
      <c r="C120" s="586"/>
      <c r="D120" s="574">
        <f t="shared" si="46"/>
        <v>3249.03</v>
      </c>
      <c r="E120" s="570">
        <f t="shared" si="47"/>
        <v>-3249.03</v>
      </c>
      <c r="G120" s="570">
        <v>250</v>
      </c>
      <c r="H120" s="570">
        <v>250</v>
      </c>
      <c r="I120" s="570">
        <v>250</v>
      </c>
      <c r="J120" s="570">
        <v>250</v>
      </c>
      <c r="K120" s="570">
        <f t="shared" si="48"/>
        <v>1000</v>
      </c>
    </row>
    <row r="121" spans="1:11" x14ac:dyDescent="0.6">
      <c r="A121" s="559" t="s">
        <v>169</v>
      </c>
      <c r="B121" s="572">
        <f>'P&amp;L (QB)'!B108</f>
        <v>699.77</v>
      </c>
      <c r="C121" s="586"/>
      <c r="D121" s="574">
        <f t="shared" si="46"/>
        <v>1031.77</v>
      </c>
      <c r="E121" s="570">
        <f t="shared" si="47"/>
        <v>-1031.77</v>
      </c>
      <c r="G121" s="570">
        <v>83</v>
      </c>
      <c r="H121" s="570">
        <v>83</v>
      </c>
      <c r="I121" s="570">
        <v>83</v>
      </c>
      <c r="J121" s="570">
        <v>83</v>
      </c>
      <c r="K121" s="570">
        <f t="shared" si="48"/>
        <v>332</v>
      </c>
    </row>
    <row r="122" spans="1:11" s="709" customFormat="1" x14ac:dyDescent="0.6">
      <c r="A122" s="707" t="s">
        <v>152</v>
      </c>
      <c r="B122" s="572">
        <f>'P&amp;L (QB)'!B109</f>
        <v>7825.99</v>
      </c>
      <c r="C122" s="586">
        <v>10368</v>
      </c>
      <c r="D122" s="574">
        <f t="shared" si="46"/>
        <v>11739</v>
      </c>
      <c r="E122" s="708">
        <f t="shared" si="47"/>
        <v>-1371</v>
      </c>
      <c r="G122" s="708">
        <v>978.25250000000005</v>
      </c>
      <c r="H122" s="708">
        <v>978.25250000000005</v>
      </c>
      <c r="I122" s="708">
        <v>978.25250000000005</v>
      </c>
      <c r="J122" s="708">
        <v>978.25250000000005</v>
      </c>
      <c r="K122" s="708">
        <f t="shared" si="48"/>
        <v>3913.01</v>
      </c>
    </row>
    <row r="123" spans="1:11" x14ac:dyDescent="0.6">
      <c r="A123" s="559" t="s">
        <v>170</v>
      </c>
      <c r="B123" s="572">
        <f>'P&amp;L (QB)'!B110</f>
        <v>5409.51</v>
      </c>
      <c r="C123" s="586">
        <v>10601</v>
      </c>
      <c r="D123" s="574">
        <f t="shared" si="46"/>
        <v>13326.51</v>
      </c>
      <c r="E123" s="570">
        <f t="shared" si="47"/>
        <v>-2725.51</v>
      </c>
      <c r="G123" s="570">
        <v>1583</v>
      </c>
      <c r="H123" s="570">
        <v>1583</v>
      </c>
      <c r="I123" s="570">
        <v>1583</v>
      </c>
      <c r="J123" s="570">
        <v>3168</v>
      </c>
      <c r="K123" s="570">
        <f t="shared" si="48"/>
        <v>7917</v>
      </c>
    </row>
    <row r="124" spans="1:11" x14ac:dyDescent="0.6">
      <c r="A124" s="559" t="s">
        <v>437</v>
      </c>
      <c r="B124" s="575">
        <f>'P&amp;L (QB)'!B111</f>
        <v>0</v>
      </c>
      <c r="C124" s="586"/>
      <c r="D124" s="574">
        <f t="shared" si="46"/>
        <v>0</v>
      </c>
      <c r="E124" s="570">
        <f t="shared" si="47"/>
        <v>0</v>
      </c>
      <c r="G124" s="570"/>
      <c r="H124" s="570"/>
      <c r="I124" s="570"/>
      <c r="J124" s="570"/>
      <c r="K124" s="570">
        <f t="shared" si="48"/>
        <v>0</v>
      </c>
    </row>
    <row r="125" spans="1:11" x14ac:dyDescent="0.6">
      <c r="A125" s="559" t="s">
        <v>199</v>
      </c>
      <c r="B125" s="572">
        <f>'P&amp;L (QB)'!B112</f>
        <v>0</v>
      </c>
      <c r="C125" s="586"/>
      <c r="D125" s="574">
        <f t="shared" si="46"/>
        <v>0</v>
      </c>
      <c r="E125" s="570">
        <f t="shared" si="47"/>
        <v>0</v>
      </c>
      <c r="G125" s="570"/>
      <c r="H125" s="570">
        <f t="shared" ref="H125:J125" si="49">G125</f>
        <v>0</v>
      </c>
      <c r="I125" s="570">
        <f t="shared" si="49"/>
        <v>0</v>
      </c>
      <c r="J125" s="570">
        <f t="shared" si="49"/>
        <v>0</v>
      </c>
      <c r="K125" s="570">
        <f t="shared" si="48"/>
        <v>0</v>
      </c>
    </row>
    <row r="126" spans="1:11" x14ac:dyDescent="0.6">
      <c r="A126" s="559" t="s">
        <v>438</v>
      </c>
      <c r="B126" s="572">
        <f>'P&amp;L (QB)'!B113</f>
        <v>0</v>
      </c>
      <c r="C126" s="586"/>
      <c r="D126" s="574">
        <f t="shared" si="46"/>
        <v>0</v>
      </c>
      <c r="E126" s="570">
        <f t="shared" si="47"/>
        <v>0</v>
      </c>
      <c r="G126" s="570"/>
      <c r="H126" s="570"/>
      <c r="I126" s="570"/>
      <c r="J126" s="570"/>
      <c r="K126" s="570">
        <f t="shared" si="48"/>
        <v>0</v>
      </c>
    </row>
    <row r="127" spans="1:11" x14ac:dyDescent="0.6">
      <c r="A127" s="559" t="s">
        <v>439</v>
      </c>
      <c r="B127" s="572">
        <f>'P&amp;L (QB)'!B114</f>
        <v>464.02</v>
      </c>
      <c r="C127" s="586"/>
      <c r="D127" s="574">
        <f t="shared" si="46"/>
        <v>464.02</v>
      </c>
      <c r="E127" s="570">
        <f t="shared" si="47"/>
        <v>-464.02</v>
      </c>
      <c r="G127" s="570"/>
      <c r="H127" s="570"/>
      <c r="I127" s="570"/>
      <c r="J127" s="570"/>
      <c r="K127" s="570">
        <f t="shared" si="48"/>
        <v>0</v>
      </c>
    </row>
    <row r="128" spans="1:11" x14ac:dyDescent="0.6">
      <c r="A128" s="559" t="s">
        <v>440</v>
      </c>
      <c r="B128" s="572">
        <f>'P&amp;L (QB)'!B115</f>
        <v>0</v>
      </c>
      <c r="C128" s="586"/>
      <c r="D128" s="574">
        <f t="shared" si="46"/>
        <v>0</v>
      </c>
      <c r="E128" s="570">
        <f t="shared" si="47"/>
        <v>0</v>
      </c>
      <c r="G128" s="570"/>
      <c r="H128" s="570">
        <f t="shared" ref="H128:J128" si="50">G128</f>
        <v>0</v>
      </c>
      <c r="I128" s="570">
        <f t="shared" si="50"/>
        <v>0</v>
      </c>
      <c r="J128" s="570">
        <f t="shared" si="50"/>
        <v>0</v>
      </c>
      <c r="K128" s="570">
        <f t="shared" si="48"/>
        <v>0</v>
      </c>
    </row>
    <row r="129" spans="1:11" x14ac:dyDescent="0.6">
      <c r="A129" s="559" t="s">
        <v>441</v>
      </c>
      <c r="B129" s="572">
        <f>'P&amp;L (QB)'!B116</f>
        <v>0</v>
      </c>
      <c r="C129" s="586"/>
      <c r="D129" s="574">
        <f t="shared" si="46"/>
        <v>0</v>
      </c>
      <c r="E129" s="570">
        <f t="shared" si="47"/>
        <v>0</v>
      </c>
      <c r="G129" s="570"/>
      <c r="H129" s="570">
        <f t="shared" ref="H129:J129" si="51">G129</f>
        <v>0</v>
      </c>
      <c r="I129" s="570">
        <f t="shared" si="51"/>
        <v>0</v>
      </c>
      <c r="J129" s="570">
        <f t="shared" si="51"/>
        <v>0</v>
      </c>
      <c r="K129" s="570">
        <f t="shared" si="48"/>
        <v>0</v>
      </c>
    </row>
    <row r="130" spans="1:11" x14ac:dyDescent="0.6">
      <c r="A130" s="559" t="s">
        <v>442</v>
      </c>
      <c r="B130" s="611">
        <f>'P&amp;L (QB)'!B117</f>
        <v>0</v>
      </c>
      <c r="C130" s="588"/>
      <c r="D130" s="578">
        <f t="shared" si="46"/>
        <v>0</v>
      </c>
      <c r="E130" s="579">
        <f t="shared" si="47"/>
        <v>0</v>
      </c>
      <c r="G130" s="579"/>
      <c r="H130" s="579">
        <f t="shared" ref="H130:J130" si="52">G130</f>
        <v>0</v>
      </c>
      <c r="I130" s="579">
        <f t="shared" si="52"/>
        <v>0</v>
      </c>
      <c r="J130" s="579">
        <f t="shared" si="52"/>
        <v>0</v>
      </c>
      <c r="K130" s="579">
        <f t="shared" si="48"/>
        <v>0</v>
      </c>
    </row>
    <row r="131" spans="1:11" x14ac:dyDescent="0.6">
      <c r="A131" s="559" t="s">
        <v>153</v>
      </c>
      <c r="B131" s="581">
        <f>SUM(B119:B130)</f>
        <v>65725.5</v>
      </c>
      <c r="C131" s="582">
        <f t="shared" ref="C131:E131" si="53">SUM(C119:C130)</f>
        <v>112560</v>
      </c>
      <c r="D131" s="583">
        <f t="shared" si="53"/>
        <v>111655.51</v>
      </c>
      <c r="E131" s="584">
        <f t="shared" si="53"/>
        <v>904.49000000000569</v>
      </c>
      <c r="G131" s="584">
        <f t="shared" ref="G131:K131" si="54">SUM(G119:G130)</f>
        <v>11086.252500000001</v>
      </c>
      <c r="H131" s="584">
        <f t="shared" si="54"/>
        <v>11086.252500000001</v>
      </c>
      <c r="I131" s="584">
        <f t="shared" si="54"/>
        <v>11086.252500000001</v>
      </c>
      <c r="J131" s="584">
        <f t="shared" si="54"/>
        <v>12671.252500000001</v>
      </c>
      <c r="K131" s="584">
        <f t="shared" si="54"/>
        <v>45930.01</v>
      </c>
    </row>
    <row r="132" spans="1:11" x14ac:dyDescent="0.6">
      <c r="A132" s="559" t="s">
        <v>443</v>
      </c>
      <c r="B132" s="575"/>
      <c r="C132" s="586"/>
      <c r="D132" s="566"/>
      <c r="G132" s="570"/>
      <c r="H132" s="570"/>
      <c r="I132" s="570"/>
      <c r="J132" s="570"/>
      <c r="K132" s="570"/>
    </row>
    <row r="133" spans="1:11" x14ac:dyDescent="0.6">
      <c r="A133" s="559" t="s">
        <v>444</v>
      </c>
      <c r="B133" s="575">
        <f>'P&amp;L (QB)'!B120</f>
        <v>0</v>
      </c>
      <c r="C133" s="586"/>
      <c r="D133" s="574">
        <v>0</v>
      </c>
      <c r="E133" s="570">
        <f t="shared" ref="E133:E135" si="55">C133-D133</f>
        <v>0</v>
      </c>
      <c r="G133" s="570"/>
      <c r="H133" s="570"/>
      <c r="I133" s="570"/>
      <c r="J133" s="570"/>
      <c r="K133" s="570">
        <f>SUM(G133:J133)</f>
        <v>0</v>
      </c>
    </row>
    <row r="134" spans="1:11" x14ac:dyDescent="0.6">
      <c r="A134" s="559" t="s">
        <v>445</v>
      </c>
      <c r="B134" s="575">
        <f>'P&amp;L (QB)'!B121</f>
        <v>0</v>
      </c>
      <c r="C134" s="586"/>
      <c r="D134" s="574">
        <v>0</v>
      </c>
      <c r="E134" s="570">
        <f t="shared" si="55"/>
        <v>0</v>
      </c>
      <c r="G134" s="570"/>
      <c r="H134" s="570"/>
      <c r="I134" s="570"/>
      <c r="J134" s="570"/>
      <c r="K134" s="570">
        <f>SUM(G134:J134)</f>
        <v>0</v>
      </c>
    </row>
    <row r="135" spans="1:11" x14ac:dyDescent="0.6">
      <c r="A135" s="559" t="s">
        <v>446</v>
      </c>
      <c r="B135" s="576">
        <f>'P&amp;L (QB)'!B122</f>
        <v>0</v>
      </c>
      <c r="C135" s="588"/>
      <c r="D135" s="578">
        <v>0</v>
      </c>
      <c r="E135" s="579">
        <f t="shared" si="55"/>
        <v>0</v>
      </c>
      <c r="G135" s="579"/>
      <c r="H135" s="579"/>
      <c r="I135" s="579"/>
      <c r="J135" s="579"/>
      <c r="K135" s="579">
        <f>SUM(G135:J135)</f>
        <v>0</v>
      </c>
    </row>
    <row r="136" spans="1:11" x14ac:dyDescent="0.6">
      <c r="A136" s="559" t="s">
        <v>447</v>
      </c>
      <c r="B136" s="581">
        <f>SUM(B133:B135)</f>
        <v>0</v>
      </c>
      <c r="C136" s="582">
        <f>SUM(C133:C135)</f>
        <v>0</v>
      </c>
      <c r="D136" s="583">
        <f>SUM(D132:D135)</f>
        <v>0</v>
      </c>
      <c r="E136" s="584">
        <f t="shared" ref="E136" si="56">SUM(E133:E135)</f>
        <v>0</v>
      </c>
      <c r="G136" s="584">
        <f t="shared" ref="G136:K136" si="57">SUM(G133:G135)</f>
        <v>0</v>
      </c>
      <c r="H136" s="584">
        <f t="shared" si="57"/>
        <v>0</v>
      </c>
      <c r="I136" s="584">
        <f t="shared" si="57"/>
        <v>0</v>
      </c>
      <c r="J136" s="584">
        <f t="shared" si="57"/>
        <v>0</v>
      </c>
      <c r="K136" s="584">
        <f t="shared" si="57"/>
        <v>0</v>
      </c>
    </row>
    <row r="137" spans="1:11" x14ac:dyDescent="0.6">
      <c r="A137" s="559" t="s">
        <v>154</v>
      </c>
      <c r="B137" s="581">
        <f>((((((B70)+(B84))+(B100))+(B103))+(B117))+(B131))+(B136)</f>
        <v>750774.21000000008</v>
      </c>
      <c r="C137" s="582">
        <f t="shared" ref="C137:E137" si="58">((((((C70)+(C84))+(C100))+(C103))+(C117))+(C131))+(C136)</f>
        <v>1278845</v>
      </c>
      <c r="D137" s="583">
        <f>((((((D70)+(D84))+(D100))+(D103))+(D117))+(D131))+(D136)</f>
        <v>1201164.9735100002</v>
      </c>
      <c r="E137" s="584">
        <f t="shared" si="58"/>
        <v>77680.026489999989</v>
      </c>
      <c r="G137" s="584">
        <f t="shared" ref="G137:K137" si="59">((((((G70)+(G84))+(G100))+(G103))+(G117))+(G131))+(G136)</f>
        <v>120313.31587749999</v>
      </c>
      <c r="H137" s="584">
        <f t="shared" si="59"/>
        <v>120313.31587749999</v>
      </c>
      <c r="I137" s="584">
        <f t="shared" si="59"/>
        <v>120313.31587749999</v>
      </c>
      <c r="J137" s="584">
        <f t="shared" si="59"/>
        <v>121898.31587749999</v>
      </c>
      <c r="K137" s="584">
        <f t="shared" si="59"/>
        <v>482838.26350999996</v>
      </c>
    </row>
    <row r="138" spans="1:11" x14ac:dyDescent="0.6">
      <c r="A138" s="559" t="s">
        <v>67</v>
      </c>
      <c r="B138" s="575"/>
      <c r="C138" s="586"/>
      <c r="D138" s="566"/>
      <c r="G138" s="570"/>
      <c r="H138" s="570"/>
      <c r="I138" s="570"/>
      <c r="J138" s="570"/>
      <c r="K138" s="570"/>
    </row>
    <row r="139" spans="1:11" x14ac:dyDescent="0.6">
      <c r="A139" s="559" t="s">
        <v>68</v>
      </c>
      <c r="B139" s="575">
        <f>'P&amp;L (QB)'!B126</f>
        <v>0</v>
      </c>
      <c r="C139" s="573">
        <v>23000</v>
      </c>
      <c r="D139" s="574">
        <f t="shared" ref="D139:D152" si="60">K139+B139</f>
        <v>23000</v>
      </c>
      <c r="E139" s="570">
        <f t="shared" ref="E139:E152" si="61">C139-D139</f>
        <v>0</v>
      </c>
      <c r="G139" s="570"/>
      <c r="H139" s="570"/>
      <c r="I139" s="570"/>
      <c r="J139" s="570">
        <v>23000</v>
      </c>
      <c r="K139" s="570">
        <f t="shared" ref="K139:K152" si="62">SUM(G139:J139)</f>
        <v>23000</v>
      </c>
    </row>
    <row r="140" spans="1:11" x14ac:dyDescent="0.6">
      <c r="A140" s="559" t="s">
        <v>69</v>
      </c>
      <c r="B140" s="572">
        <f>'P&amp;L (QB)'!B127</f>
        <v>10920</v>
      </c>
      <c r="C140" s="610">
        <v>26460</v>
      </c>
      <c r="D140" s="574">
        <f t="shared" si="60"/>
        <v>16920</v>
      </c>
      <c r="E140" s="570">
        <f t="shared" si="61"/>
        <v>9540</v>
      </c>
      <c r="G140" s="570">
        <v>1500</v>
      </c>
      <c r="H140" s="570">
        <v>1500</v>
      </c>
      <c r="I140" s="570">
        <v>1500</v>
      </c>
      <c r="J140" s="570">
        <v>1500</v>
      </c>
      <c r="K140" s="570">
        <f t="shared" si="62"/>
        <v>6000</v>
      </c>
    </row>
    <row r="141" spans="1:11" x14ac:dyDescent="0.6">
      <c r="A141" s="559" t="s">
        <v>70</v>
      </c>
      <c r="B141" s="572">
        <f>'P&amp;L (QB)'!B128</f>
        <v>57648.9</v>
      </c>
      <c r="C141" s="610">
        <v>70000</v>
      </c>
      <c r="D141" s="574">
        <f t="shared" si="60"/>
        <v>70000</v>
      </c>
      <c r="E141" s="570">
        <f t="shared" si="61"/>
        <v>0</v>
      </c>
      <c r="G141" s="570">
        <v>3087.7749999999996</v>
      </c>
      <c r="H141" s="570">
        <v>3087.7749999999996</v>
      </c>
      <c r="I141" s="570">
        <v>3087.7749999999996</v>
      </c>
      <c r="J141" s="570">
        <v>3087.7749999999996</v>
      </c>
      <c r="K141" s="570">
        <f t="shared" si="62"/>
        <v>12351.099999999999</v>
      </c>
    </row>
    <row r="142" spans="1:11" x14ac:dyDescent="0.6">
      <c r="A142" s="559" t="s">
        <v>71</v>
      </c>
      <c r="B142" s="575">
        <f>'P&amp;L (QB)'!B129</f>
        <v>0</v>
      </c>
      <c r="C142" s="610">
        <v>10000</v>
      </c>
      <c r="D142" s="574">
        <f t="shared" si="60"/>
        <v>0</v>
      </c>
      <c r="E142" s="570">
        <f t="shared" si="61"/>
        <v>10000</v>
      </c>
      <c r="G142" s="570"/>
      <c r="H142" s="570"/>
      <c r="I142" s="570"/>
      <c r="J142" s="570"/>
      <c r="K142" s="570">
        <f t="shared" si="62"/>
        <v>0</v>
      </c>
    </row>
    <row r="143" spans="1:11" x14ac:dyDescent="0.6">
      <c r="A143" s="559" t="s">
        <v>448</v>
      </c>
      <c r="B143" s="575">
        <f>'P&amp;L (QB)'!B130</f>
        <v>0</v>
      </c>
      <c r="C143" s="573">
        <v>0</v>
      </c>
      <c r="D143" s="574">
        <f t="shared" si="60"/>
        <v>0</v>
      </c>
      <c r="E143" s="570">
        <f t="shared" si="61"/>
        <v>0</v>
      </c>
      <c r="G143" s="570"/>
      <c r="H143" s="570"/>
      <c r="I143" s="570"/>
      <c r="J143" s="570"/>
      <c r="K143" s="570">
        <f t="shared" si="62"/>
        <v>0</v>
      </c>
    </row>
    <row r="144" spans="1:11" x14ac:dyDescent="0.6">
      <c r="A144" s="559" t="s">
        <v>449</v>
      </c>
      <c r="B144" s="575">
        <f>'P&amp;L (QB)'!B131</f>
        <v>0</v>
      </c>
      <c r="C144" s="573">
        <v>0</v>
      </c>
      <c r="D144" s="574">
        <f t="shared" si="60"/>
        <v>0</v>
      </c>
      <c r="E144" s="570">
        <f t="shared" si="61"/>
        <v>0</v>
      </c>
      <c r="G144" s="570"/>
      <c r="H144" s="570"/>
      <c r="I144" s="570"/>
      <c r="J144" s="570"/>
      <c r="K144" s="570">
        <f t="shared" si="62"/>
        <v>0</v>
      </c>
    </row>
    <row r="145" spans="1:12" x14ac:dyDescent="0.6">
      <c r="A145" s="559" t="s">
        <v>177</v>
      </c>
      <c r="B145" s="572">
        <f>'P&amp;L (QB)'!B132</f>
        <v>2500</v>
      </c>
      <c r="C145" s="573">
        <v>10500</v>
      </c>
      <c r="D145" s="574">
        <f t="shared" si="60"/>
        <v>2500</v>
      </c>
      <c r="E145" s="570">
        <f t="shared" si="61"/>
        <v>8000</v>
      </c>
      <c r="G145" s="570"/>
      <c r="H145" s="570"/>
      <c r="I145" s="570"/>
      <c r="J145" s="570"/>
      <c r="K145" s="570">
        <f t="shared" si="62"/>
        <v>0</v>
      </c>
    </row>
    <row r="146" spans="1:12" x14ac:dyDescent="0.6">
      <c r="A146" s="559" t="s">
        <v>72</v>
      </c>
      <c r="B146" s="572">
        <f>'P&amp;L (QB)'!B133</f>
        <v>3000</v>
      </c>
      <c r="C146" s="573">
        <v>6000</v>
      </c>
      <c r="D146" s="574">
        <f t="shared" si="60"/>
        <v>6000</v>
      </c>
      <c r="E146" s="570">
        <f t="shared" si="61"/>
        <v>0</v>
      </c>
      <c r="G146" s="570"/>
      <c r="H146" s="570"/>
      <c r="I146" s="570"/>
      <c r="J146" s="570">
        <v>3000</v>
      </c>
      <c r="K146" s="570">
        <f t="shared" si="62"/>
        <v>3000</v>
      </c>
    </row>
    <row r="147" spans="1:12" x14ac:dyDescent="0.6">
      <c r="A147" s="559" t="s">
        <v>108</v>
      </c>
      <c r="B147" s="575">
        <f>'P&amp;L (QB)'!B134</f>
        <v>0</v>
      </c>
      <c r="C147" s="573">
        <v>0</v>
      </c>
      <c r="D147" s="574">
        <f t="shared" si="60"/>
        <v>0</v>
      </c>
      <c r="E147" s="570">
        <f t="shared" si="61"/>
        <v>0</v>
      </c>
      <c r="G147" s="570"/>
      <c r="H147" s="570"/>
      <c r="I147" s="570"/>
      <c r="J147" s="570"/>
      <c r="K147" s="570">
        <f t="shared" si="62"/>
        <v>0</v>
      </c>
    </row>
    <row r="148" spans="1:12" x14ac:dyDescent="0.6">
      <c r="A148" s="559" t="s">
        <v>450</v>
      </c>
      <c r="B148" s="575">
        <f>'P&amp;L (QB)'!B135</f>
        <v>0</v>
      </c>
      <c r="C148" s="573">
        <v>0</v>
      </c>
      <c r="D148" s="574">
        <f t="shared" si="60"/>
        <v>0</v>
      </c>
      <c r="E148" s="570">
        <f t="shared" si="61"/>
        <v>0</v>
      </c>
      <c r="G148" s="570"/>
      <c r="H148" s="570"/>
      <c r="I148" s="570"/>
      <c r="J148" s="570"/>
      <c r="K148" s="570">
        <f t="shared" si="62"/>
        <v>0</v>
      </c>
    </row>
    <row r="149" spans="1:12" x14ac:dyDescent="0.6">
      <c r="A149" s="559" t="s">
        <v>451</v>
      </c>
      <c r="B149" s="575">
        <f>'P&amp;L (QB)'!B136</f>
        <v>0</v>
      </c>
      <c r="C149" s="573">
        <v>0</v>
      </c>
      <c r="D149" s="574">
        <f t="shared" si="60"/>
        <v>0</v>
      </c>
      <c r="E149" s="570">
        <f t="shared" si="61"/>
        <v>0</v>
      </c>
      <c r="G149" s="570"/>
      <c r="H149" s="570"/>
      <c r="I149" s="570"/>
      <c r="J149" s="570"/>
      <c r="K149" s="570">
        <f t="shared" si="62"/>
        <v>0</v>
      </c>
    </row>
    <row r="150" spans="1:12" x14ac:dyDescent="0.6">
      <c r="A150" s="559" t="s">
        <v>452</v>
      </c>
      <c r="B150" s="575">
        <f>'P&amp;L (QB)'!B137</f>
        <v>0</v>
      </c>
      <c r="C150" s="573">
        <v>4500</v>
      </c>
      <c r="D150" s="574">
        <f t="shared" si="60"/>
        <v>4500</v>
      </c>
      <c r="E150" s="570">
        <f t="shared" si="61"/>
        <v>0</v>
      </c>
      <c r="G150" s="570"/>
      <c r="H150" s="570"/>
      <c r="I150" s="570"/>
      <c r="J150" s="570">
        <v>4500</v>
      </c>
      <c r="K150" s="570">
        <f t="shared" si="62"/>
        <v>4500</v>
      </c>
    </row>
    <row r="151" spans="1:12" x14ac:dyDescent="0.6">
      <c r="A151" s="559" t="s">
        <v>264</v>
      </c>
      <c r="B151" s="575">
        <f>'P&amp;L (QB)'!B138</f>
        <v>0</v>
      </c>
      <c r="C151" s="573">
        <v>2500</v>
      </c>
      <c r="D151" s="574">
        <f t="shared" si="60"/>
        <v>2500</v>
      </c>
      <c r="E151" s="570">
        <f t="shared" si="61"/>
        <v>0</v>
      </c>
      <c r="G151" s="570"/>
      <c r="H151" s="570"/>
      <c r="I151" s="570"/>
      <c r="J151" s="570">
        <v>2500</v>
      </c>
      <c r="K151" s="570">
        <f t="shared" si="62"/>
        <v>2500</v>
      </c>
    </row>
    <row r="152" spans="1:12" x14ac:dyDescent="0.6">
      <c r="A152" s="559" t="s">
        <v>73</v>
      </c>
      <c r="B152" s="611">
        <f>'P&amp;L (QB)'!B139</f>
        <v>5380</v>
      </c>
      <c r="C152" s="577">
        <v>5380</v>
      </c>
      <c r="D152" s="578">
        <f t="shared" si="60"/>
        <v>5380</v>
      </c>
      <c r="E152" s="579">
        <f t="shared" si="61"/>
        <v>0</v>
      </c>
      <c r="G152" s="579"/>
      <c r="H152" s="579"/>
      <c r="I152" s="579"/>
      <c r="J152" s="579"/>
      <c r="K152" s="579">
        <f t="shared" si="62"/>
        <v>0</v>
      </c>
    </row>
    <row r="153" spans="1:12" x14ac:dyDescent="0.6">
      <c r="A153" s="559" t="s">
        <v>74</v>
      </c>
      <c r="B153" s="581">
        <f>SUM(B139:B152)</f>
        <v>79448.899999999994</v>
      </c>
      <c r="C153" s="582">
        <f t="shared" ref="C153:E153" si="63">SUM(C139:C152)</f>
        <v>158340</v>
      </c>
      <c r="D153" s="583">
        <f t="shared" si="63"/>
        <v>130800</v>
      </c>
      <c r="E153" s="584">
        <f t="shared" si="63"/>
        <v>27540</v>
      </c>
      <c r="G153" s="584">
        <f t="shared" ref="G153:K153" si="64">SUM(G139:G152)</f>
        <v>4587.7749999999996</v>
      </c>
      <c r="H153" s="584">
        <f t="shared" si="64"/>
        <v>4587.7749999999996</v>
      </c>
      <c r="I153" s="584">
        <f t="shared" si="64"/>
        <v>4587.7749999999996</v>
      </c>
      <c r="J153" s="584">
        <f t="shared" si="64"/>
        <v>37587.775000000001</v>
      </c>
      <c r="K153" s="584">
        <f t="shared" si="64"/>
        <v>51351.1</v>
      </c>
    </row>
    <row r="154" spans="1:12" x14ac:dyDescent="0.6">
      <c r="A154" s="559" t="s">
        <v>75</v>
      </c>
      <c r="B154" s="575"/>
      <c r="C154" s="586"/>
      <c r="D154" s="566"/>
      <c r="G154" s="570"/>
      <c r="H154" s="570"/>
      <c r="I154" s="570"/>
      <c r="J154" s="570"/>
      <c r="K154" s="570"/>
    </row>
    <row r="155" spans="1:12" x14ac:dyDescent="0.6">
      <c r="A155" s="559" t="s">
        <v>109</v>
      </c>
      <c r="B155" s="572">
        <f>'P&amp;L (QB)'!B142</f>
        <v>414.99</v>
      </c>
      <c r="C155" s="573">
        <v>1000</v>
      </c>
      <c r="D155" s="574">
        <f t="shared" ref="D155:D156" si="65">K155+B155</f>
        <v>414.99</v>
      </c>
      <c r="E155" s="612">
        <f t="shared" ref="E155:E156" si="66">C155-D155</f>
        <v>585.01</v>
      </c>
      <c r="G155" s="570"/>
      <c r="H155" s="570"/>
      <c r="I155" s="570"/>
      <c r="J155" s="570"/>
      <c r="K155" s="570">
        <f>SUM(G155:J155)</f>
        <v>0</v>
      </c>
    </row>
    <row r="156" spans="1:12" x14ac:dyDescent="0.6">
      <c r="A156" s="559" t="s">
        <v>267</v>
      </c>
      <c r="B156" s="611">
        <f>'P&amp;L (QB)'!B143</f>
        <v>4854.18</v>
      </c>
      <c r="C156" s="577">
        <v>7500</v>
      </c>
      <c r="D156" s="578">
        <f t="shared" si="65"/>
        <v>4854.18</v>
      </c>
      <c r="E156" s="613">
        <f t="shared" si="66"/>
        <v>2645.8199999999997</v>
      </c>
      <c r="G156" s="579"/>
      <c r="H156" s="579"/>
      <c r="I156" s="579"/>
      <c r="J156" s="579"/>
      <c r="K156" s="579">
        <f>SUM(G156:J156)</f>
        <v>0</v>
      </c>
    </row>
    <row r="157" spans="1:12" x14ac:dyDescent="0.6">
      <c r="A157" s="559" t="s">
        <v>76</v>
      </c>
      <c r="B157" s="581">
        <f>SUM(B155:B156)</f>
        <v>5269.17</v>
      </c>
      <c r="C157" s="582">
        <f t="shared" ref="C157:E157" si="67">SUM(C155:C156)</f>
        <v>8500</v>
      </c>
      <c r="D157" s="583">
        <f t="shared" si="67"/>
        <v>5269.17</v>
      </c>
      <c r="E157" s="584">
        <f t="shared" si="67"/>
        <v>3230.83</v>
      </c>
      <c r="G157" s="584">
        <f t="shared" ref="G157:K157" si="68">SUM(G155:G156)</f>
        <v>0</v>
      </c>
      <c r="H157" s="584">
        <f t="shared" si="68"/>
        <v>0</v>
      </c>
      <c r="I157" s="584">
        <f t="shared" si="68"/>
        <v>0</v>
      </c>
      <c r="J157" s="584">
        <f t="shared" si="68"/>
        <v>0</v>
      </c>
      <c r="K157" s="584">
        <f t="shared" si="68"/>
        <v>0</v>
      </c>
    </row>
    <row r="158" spans="1:12" x14ac:dyDescent="0.6">
      <c r="A158" s="559" t="s">
        <v>166</v>
      </c>
      <c r="B158" s="575"/>
      <c r="C158" s="586"/>
      <c r="D158" s="566"/>
      <c r="G158" s="570"/>
      <c r="H158" s="570"/>
      <c r="I158" s="570"/>
      <c r="J158" s="570"/>
      <c r="K158" s="570"/>
    </row>
    <row r="159" spans="1:12" x14ac:dyDescent="0.6">
      <c r="A159" s="559" t="s">
        <v>167</v>
      </c>
      <c r="B159" s="572">
        <f>'P&amp;L (QB)'!B146</f>
        <v>33194.379999999997</v>
      </c>
      <c r="C159" s="573">
        <v>30000</v>
      </c>
      <c r="D159" s="574">
        <f t="shared" ref="D159:D167" si="69">K159+B159</f>
        <v>36000</v>
      </c>
      <c r="E159" s="570">
        <f t="shared" ref="E159:E167" si="70">C159-D159</f>
        <v>-6000</v>
      </c>
      <c r="G159" s="570">
        <v>701.40500000000065</v>
      </c>
      <c r="H159" s="570">
        <v>701.40500000000065</v>
      </c>
      <c r="I159" s="570">
        <v>701.40500000000065</v>
      </c>
      <c r="J159" s="570">
        <v>701.40500000000065</v>
      </c>
      <c r="K159" s="570">
        <f t="shared" ref="K159:K167" si="71">SUM(G159:J159)</f>
        <v>2805.6200000000026</v>
      </c>
    </row>
    <row r="160" spans="1:12" x14ac:dyDescent="0.6">
      <c r="A160" s="696" t="s">
        <v>268</v>
      </c>
      <c r="B160" s="697">
        <f>'P&amp;L (QB)'!B147</f>
        <v>0</v>
      </c>
      <c r="C160" s="701">
        <v>4000</v>
      </c>
      <c r="D160" s="698">
        <f t="shared" si="69"/>
        <v>0</v>
      </c>
      <c r="E160" s="698">
        <f ca="1">-160:160</f>
        <v>0</v>
      </c>
      <c r="F160" s="694"/>
      <c r="G160" s="698"/>
      <c r="H160" s="698"/>
      <c r="I160" s="698"/>
      <c r="J160" s="698"/>
      <c r="K160" s="698">
        <f t="shared" si="71"/>
        <v>0</v>
      </c>
      <c r="L160" s="694" t="s">
        <v>926</v>
      </c>
    </row>
    <row r="161" spans="1:12" x14ac:dyDescent="0.6">
      <c r="A161" s="696" t="s">
        <v>269</v>
      </c>
      <c r="B161" s="723">
        <f>'P&amp;L (QB)'!B148</f>
        <v>513.38</v>
      </c>
      <c r="C161" s="701">
        <v>4000</v>
      </c>
      <c r="D161" s="698">
        <f t="shared" si="69"/>
        <v>513.38</v>
      </c>
      <c r="E161" s="698">
        <f t="shared" si="70"/>
        <v>3486.62</v>
      </c>
      <c r="F161" s="694"/>
      <c r="G161" s="698"/>
      <c r="H161" s="698"/>
      <c r="I161" s="698"/>
      <c r="J161" s="698"/>
      <c r="K161" s="698">
        <f t="shared" si="71"/>
        <v>0</v>
      </c>
      <c r="L161" s="694" t="s">
        <v>926</v>
      </c>
    </row>
    <row r="162" spans="1:12" hidden="1" x14ac:dyDescent="0.6">
      <c r="A162" s="559" t="s">
        <v>453</v>
      </c>
      <c r="B162" s="575">
        <f>'P&amp;L (QB)'!B149</f>
        <v>0</v>
      </c>
      <c r="C162" s="586"/>
      <c r="D162" s="574">
        <f t="shared" si="69"/>
        <v>0</v>
      </c>
      <c r="E162" s="570">
        <f t="shared" si="70"/>
        <v>0</v>
      </c>
      <c r="G162" s="570"/>
      <c r="H162" s="570"/>
      <c r="I162" s="570"/>
      <c r="J162" s="570"/>
      <c r="K162" s="570">
        <f t="shared" si="71"/>
        <v>0</v>
      </c>
    </row>
    <row r="163" spans="1:12" x14ac:dyDescent="0.6">
      <c r="A163" s="559" t="s">
        <v>454</v>
      </c>
      <c r="B163" s="575">
        <f>'P&amp;L (QB)'!B150</f>
        <v>0</v>
      </c>
      <c r="C163" s="586"/>
      <c r="D163" s="574">
        <f t="shared" si="69"/>
        <v>0</v>
      </c>
      <c r="E163" s="570">
        <f t="shared" si="70"/>
        <v>0</v>
      </c>
      <c r="G163" s="570"/>
      <c r="H163" s="570"/>
      <c r="I163" s="570"/>
      <c r="J163" s="570"/>
      <c r="K163" s="570">
        <f t="shared" si="71"/>
        <v>0</v>
      </c>
    </row>
    <row r="164" spans="1:12" x14ac:dyDescent="0.6">
      <c r="A164" s="559" t="s">
        <v>270</v>
      </c>
      <c r="B164" s="572">
        <f>'P&amp;L (QB)'!B151</f>
        <v>385.06</v>
      </c>
      <c r="C164" s="573">
        <v>4000</v>
      </c>
      <c r="D164" s="574">
        <f t="shared" si="69"/>
        <v>385.06</v>
      </c>
      <c r="E164" s="570">
        <f t="shared" si="70"/>
        <v>3614.94</v>
      </c>
      <c r="G164" s="570"/>
      <c r="H164" s="570"/>
      <c r="I164" s="570"/>
      <c r="J164" s="570"/>
      <c r="K164" s="570">
        <f t="shared" si="71"/>
        <v>0</v>
      </c>
      <c r="L164" s="557" t="s">
        <v>926</v>
      </c>
    </row>
    <row r="165" spans="1:12" x14ac:dyDescent="0.6">
      <c r="A165" s="559" t="s">
        <v>455</v>
      </c>
      <c r="B165" s="575">
        <f>'P&amp;L (QB)'!B152</f>
        <v>0</v>
      </c>
      <c r="C165" s="573">
        <v>1797.6000000000001</v>
      </c>
      <c r="D165" s="574">
        <f t="shared" si="69"/>
        <v>1798</v>
      </c>
      <c r="E165" s="570">
        <f t="shared" si="70"/>
        <v>-0.39999999999986358</v>
      </c>
      <c r="G165" s="570"/>
      <c r="H165" s="570"/>
      <c r="I165" s="570"/>
      <c r="J165" s="570">
        <v>1798</v>
      </c>
      <c r="K165" s="570">
        <f t="shared" si="71"/>
        <v>1798</v>
      </c>
    </row>
    <row r="166" spans="1:12" x14ac:dyDescent="0.6">
      <c r="A166" s="559" t="s">
        <v>456</v>
      </c>
      <c r="B166" s="575">
        <f>'P&amp;L (QB)'!B153</f>
        <v>0</v>
      </c>
      <c r="C166" s="573">
        <v>750</v>
      </c>
      <c r="D166" s="574">
        <f t="shared" si="69"/>
        <v>750</v>
      </c>
      <c r="E166" s="570">
        <f t="shared" si="70"/>
        <v>0</v>
      </c>
      <c r="G166" s="570"/>
      <c r="H166" s="570"/>
      <c r="I166" s="570"/>
      <c r="J166" s="570">
        <v>750</v>
      </c>
      <c r="K166" s="570">
        <f t="shared" si="71"/>
        <v>750</v>
      </c>
    </row>
    <row r="167" spans="1:12" x14ac:dyDescent="0.6">
      <c r="A167" s="559" t="s">
        <v>457</v>
      </c>
      <c r="B167" s="576">
        <f>'P&amp;L (QB)'!B154</f>
        <v>0</v>
      </c>
      <c r="C167" s="588"/>
      <c r="D167" s="578">
        <f t="shared" si="69"/>
        <v>0</v>
      </c>
      <c r="E167" s="579">
        <f t="shared" si="70"/>
        <v>0</v>
      </c>
      <c r="G167" s="579"/>
      <c r="H167" s="579"/>
      <c r="I167" s="579"/>
      <c r="J167" s="579"/>
      <c r="K167" s="579">
        <f t="shared" si="71"/>
        <v>0</v>
      </c>
    </row>
    <row r="168" spans="1:12" x14ac:dyDescent="0.6">
      <c r="A168" s="559" t="s">
        <v>168</v>
      </c>
      <c r="B168" s="581">
        <f>SUM(B159:B167)</f>
        <v>34092.819999999992</v>
      </c>
      <c r="C168" s="582">
        <f t="shared" ref="C168:E168" si="72">SUM(C159:C167)</f>
        <v>44547.6</v>
      </c>
      <c r="D168" s="583">
        <f t="shared" si="72"/>
        <v>39446.439999999995</v>
      </c>
      <c r="E168" s="584">
        <f t="shared" ca="1" si="72"/>
        <v>5101.16</v>
      </c>
      <c r="G168" s="584">
        <f t="shared" ref="G168:K168" si="73">SUM(G159:G167)</f>
        <v>701.40500000000065</v>
      </c>
      <c r="H168" s="584">
        <f t="shared" si="73"/>
        <v>701.40500000000065</v>
      </c>
      <c r="I168" s="584">
        <f t="shared" si="73"/>
        <v>701.40500000000065</v>
      </c>
      <c r="J168" s="584">
        <f t="shared" si="73"/>
        <v>3249.4050000000007</v>
      </c>
      <c r="K168" s="584">
        <f t="shared" si="73"/>
        <v>5353.6200000000026</v>
      </c>
    </row>
    <row r="169" spans="1:12" x14ac:dyDescent="0.6">
      <c r="A169" s="559" t="s">
        <v>458</v>
      </c>
      <c r="B169" s="575"/>
      <c r="C169" s="586"/>
      <c r="D169" s="566"/>
      <c r="E169" s="570"/>
      <c r="G169" s="570"/>
      <c r="H169" s="570"/>
      <c r="I169" s="570"/>
      <c r="J169" s="570"/>
      <c r="K169" s="570"/>
    </row>
    <row r="170" spans="1:12" x14ac:dyDescent="0.6">
      <c r="A170" s="559" t="s">
        <v>459</v>
      </c>
      <c r="B170" s="576">
        <f>'P&amp;L (QB)'!B157</f>
        <v>0</v>
      </c>
      <c r="C170" s="577">
        <v>2400</v>
      </c>
      <c r="D170" s="578">
        <f t="shared" ref="D170" si="74">K170+B170</f>
        <v>0</v>
      </c>
      <c r="E170" s="579">
        <f>C170-D170</f>
        <v>2400</v>
      </c>
      <c r="G170" s="579"/>
      <c r="H170" s="579"/>
      <c r="I170" s="579"/>
      <c r="J170" s="579">
        <v>0</v>
      </c>
      <c r="K170" s="579">
        <f>SUM(G170:J170)</f>
        <v>0</v>
      </c>
    </row>
    <row r="171" spans="1:12" x14ac:dyDescent="0.6">
      <c r="A171" s="559" t="s">
        <v>460</v>
      </c>
      <c r="B171" s="581">
        <f>SUM(B170)</f>
        <v>0</v>
      </c>
      <c r="C171" s="582">
        <f>SUM(C170)</f>
        <v>2400</v>
      </c>
      <c r="D171" s="583">
        <f>SUM(D169:D170)</f>
        <v>0</v>
      </c>
      <c r="E171" s="584">
        <f t="shared" ref="E171:K171" si="75">SUM(E170)</f>
        <v>2400</v>
      </c>
      <c r="G171" s="584">
        <f t="shared" si="75"/>
        <v>0</v>
      </c>
      <c r="H171" s="584">
        <f t="shared" si="75"/>
        <v>0</v>
      </c>
      <c r="I171" s="584">
        <f t="shared" si="75"/>
        <v>0</v>
      </c>
      <c r="J171" s="584">
        <f t="shared" si="75"/>
        <v>0</v>
      </c>
      <c r="K171" s="584">
        <f t="shared" si="75"/>
        <v>0</v>
      </c>
    </row>
    <row r="172" spans="1:12" x14ac:dyDescent="0.6">
      <c r="A172" s="559" t="s">
        <v>272</v>
      </c>
      <c r="B172" s="575"/>
      <c r="C172" s="586"/>
      <c r="D172" s="566"/>
      <c r="G172" s="570"/>
      <c r="H172" s="570"/>
      <c r="I172" s="570"/>
      <c r="J172" s="570"/>
      <c r="K172" s="570"/>
    </row>
    <row r="173" spans="1:12" x14ac:dyDescent="0.6">
      <c r="A173" s="559" t="s">
        <v>273</v>
      </c>
      <c r="B173" s="572">
        <f>'P&amp;L (QB)'!B160</f>
        <v>8706.3799999999992</v>
      </c>
      <c r="C173" s="573">
        <v>12000</v>
      </c>
      <c r="D173" s="574">
        <f t="shared" ref="D173:D176" si="76">K173+B173</f>
        <v>10000</v>
      </c>
      <c r="E173" s="570">
        <f t="shared" ref="E173:E176" si="77">C173-D173</f>
        <v>2000</v>
      </c>
      <c r="G173" s="570">
        <v>323.4050000000002</v>
      </c>
      <c r="H173" s="570">
        <v>323.4050000000002</v>
      </c>
      <c r="I173" s="570">
        <v>323.4050000000002</v>
      </c>
      <c r="J173" s="570">
        <v>323.4050000000002</v>
      </c>
      <c r="K173" s="570">
        <f>SUM(G173:J173)</f>
        <v>1293.6200000000008</v>
      </c>
    </row>
    <row r="174" spans="1:12" x14ac:dyDescent="0.6">
      <c r="A174" s="559" t="s">
        <v>461</v>
      </c>
      <c r="B174" s="575">
        <f>'P&amp;L (QB)'!B161</f>
        <v>0</v>
      </c>
      <c r="C174" s="573">
        <v>0</v>
      </c>
      <c r="D174" s="574">
        <f t="shared" si="76"/>
        <v>0</v>
      </c>
      <c r="E174" s="570">
        <f t="shared" si="77"/>
        <v>0</v>
      </c>
      <c r="G174" s="570"/>
      <c r="H174" s="570"/>
      <c r="I174" s="570"/>
      <c r="J174" s="570"/>
      <c r="K174" s="570">
        <f>SUM(G174:J174)</f>
        <v>0</v>
      </c>
    </row>
    <row r="175" spans="1:12" x14ac:dyDescent="0.6">
      <c r="A175" s="559" t="s">
        <v>274</v>
      </c>
      <c r="B175" s="572">
        <f>'P&amp;L (QB)'!B162</f>
        <v>15528.21</v>
      </c>
      <c r="C175" s="573">
        <v>25000</v>
      </c>
      <c r="D175" s="574">
        <f t="shared" si="76"/>
        <v>23423.21</v>
      </c>
      <c r="E175" s="570">
        <f t="shared" si="77"/>
        <v>1576.7900000000009</v>
      </c>
      <c r="G175" s="570">
        <v>1973.75</v>
      </c>
      <c r="H175" s="570">
        <v>1973.75</v>
      </c>
      <c r="I175" s="570">
        <v>1973.75</v>
      </c>
      <c r="J175" s="570">
        <v>1973.75</v>
      </c>
      <c r="K175" s="570">
        <f>SUM(G175:J175)</f>
        <v>7895</v>
      </c>
    </row>
    <row r="176" spans="1:12" x14ac:dyDescent="0.6">
      <c r="A176" s="559" t="s">
        <v>462</v>
      </c>
      <c r="B176" s="576">
        <f>'P&amp;L (QB)'!B163</f>
        <v>0</v>
      </c>
      <c r="C176" s="577">
        <v>6990</v>
      </c>
      <c r="D176" s="578">
        <f t="shared" si="76"/>
        <v>6990</v>
      </c>
      <c r="E176" s="579">
        <f t="shared" si="77"/>
        <v>0</v>
      </c>
      <c r="G176" s="579"/>
      <c r="H176" s="579"/>
      <c r="I176" s="579"/>
      <c r="J176" s="579">
        <v>6990</v>
      </c>
      <c r="K176" s="579">
        <f>SUM(G176:J176)</f>
        <v>6990</v>
      </c>
    </row>
    <row r="177" spans="1:11" x14ac:dyDescent="0.6">
      <c r="A177" s="559" t="s">
        <v>271</v>
      </c>
      <c r="B177" s="581">
        <f>SUM(B173:B176)</f>
        <v>24234.589999999997</v>
      </c>
      <c r="C177" s="582">
        <f t="shared" ref="C177:E177" si="78">SUM(C173:C176)</f>
        <v>43990</v>
      </c>
      <c r="D177" s="583">
        <f t="shared" si="78"/>
        <v>40413.21</v>
      </c>
      <c r="E177" s="584">
        <f t="shared" si="78"/>
        <v>3576.7900000000009</v>
      </c>
      <c r="G177" s="584">
        <f t="shared" ref="G177:K177" si="79">SUM(G173:G176)</f>
        <v>2297.1550000000002</v>
      </c>
      <c r="H177" s="584">
        <f t="shared" si="79"/>
        <v>2297.1550000000002</v>
      </c>
      <c r="I177" s="584">
        <f t="shared" si="79"/>
        <v>2297.1550000000002</v>
      </c>
      <c r="J177" s="584">
        <f t="shared" si="79"/>
        <v>9287.1550000000007</v>
      </c>
      <c r="K177" s="584">
        <f t="shared" si="79"/>
        <v>16178.62</v>
      </c>
    </row>
    <row r="178" spans="1:11" x14ac:dyDescent="0.6">
      <c r="A178" s="559" t="s">
        <v>463</v>
      </c>
      <c r="B178" s="575"/>
      <c r="C178" s="586"/>
      <c r="D178" s="566"/>
      <c r="G178" s="570"/>
      <c r="H178" s="570"/>
      <c r="I178" s="570"/>
      <c r="J178" s="570"/>
      <c r="K178" s="570"/>
    </row>
    <row r="179" spans="1:11" x14ac:dyDescent="0.6">
      <c r="A179" s="559" t="s">
        <v>464</v>
      </c>
      <c r="B179" s="575">
        <f>'P&amp;L (QB)'!B166</f>
        <v>503.63</v>
      </c>
      <c r="C179" s="573">
        <v>5000</v>
      </c>
      <c r="D179" s="574">
        <f t="shared" ref="D179:D181" si="80">K179+B179</f>
        <v>5000</v>
      </c>
      <c r="E179" s="570">
        <f t="shared" ref="E179:E181" si="81">C179-D179</f>
        <v>0</v>
      </c>
      <c r="G179" s="570">
        <v>1124.0925</v>
      </c>
      <c r="H179" s="570">
        <v>1124.0925</v>
      </c>
      <c r="I179" s="570">
        <v>1124.0925</v>
      </c>
      <c r="J179" s="570">
        <v>1124.0925</v>
      </c>
      <c r="K179" s="570">
        <f>SUM(G179:J179)</f>
        <v>4496.37</v>
      </c>
    </row>
    <row r="180" spans="1:11" x14ac:dyDescent="0.6">
      <c r="A180" s="559" t="s">
        <v>465</v>
      </c>
      <c r="B180" s="572">
        <f>'P&amp;L (QB)'!B167</f>
        <v>130.11000000000001</v>
      </c>
      <c r="C180" s="573">
        <v>2500</v>
      </c>
      <c r="D180" s="574">
        <f t="shared" si="80"/>
        <v>2105.11</v>
      </c>
      <c r="E180" s="570">
        <f t="shared" si="81"/>
        <v>394.88999999999987</v>
      </c>
      <c r="G180" s="570">
        <v>493.75</v>
      </c>
      <c r="H180" s="570">
        <v>493.75</v>
      </c>
      <c r="I180" s="570">
        <v>493.75</v>
      </c>
      <c r="J180" s="570">
        <v>493.75</v>
      </c>
      <c r="K180" s="570">
        <f>SUM(G180:J180)</f>
        <v>1975</v>
      </c>
    </row>
    <row r="181" spans="1:11" x14ac:dyDescent="0.6">
      <c r="A181" s="559" t="s">
        <v>466</v>
      </c>
      <c r="B181" s="611">
        <f>'P&amp;L (QB)'!B168</f>
        <v>2207.4699999999998</v>
      </c>
      <c r="C181" s="577">
        <v>6000</v>
      </c>
      <c r="D181" s="578">
        <f t="shared" si="80"/>
        <v>5367.4699999999993</v>
      </c>
      <c r="E181" s="579">
        <f t="shared" si="81"/>
        <v>632.53000000000065</v>
      </c>
      <c r="G181" s="579">
        <v>789.99999999999989</v>
      </c>
      <c r="H181" s="579">
        <v>789.99999999999989</v>
      </c>
      <c r="I181" s="579">
        <v>789.99999999999989</v>
      </c>
      <c r="J181" s="579">
        <v>789.99999999999989</v>
      </c>
      <c r="K181" s="579">
        <f>SUM(G181:J181)</f>
        <v>3159.9999999999995</v>
      </c>
    </row>
    <row r="182" spans="1:11" x14ac:dyDescent="0.6">
      <c r="A182" s="559" t="s">
        <v>276</v>
      </c>
      <c r="B182" s="581">
        <f>SUM(B179:B181)</f>
        <v>2841.21</v>
      </c>
      <c r="C182" s="582">
        <f t="shared" ref="C182:E182" si="82">SUM(C179:C181)</f>
        <v>13500</v>
      </c>
      <c r="D182" s="583">
        <f t="shared" si="82"/>
        <v>12472.58</v>
      </c>
      <c r="E182" s="584">
        <f t="shared" si="82"/>
        <v>1027.4200000000005</v>
      </c>
      <c r="G182" s="584">
        <f t="shared" ref="G182:K182" si="83">SUM(G179:G181)</f>
        <v>2407.8424999999997</v>
      </c>
      <c r="H182" s="584">
        <f t="shared" si="83"/>
        <v>2407.8424999999997</v>
      </c>
      <c r="I182" s="584">
        <f t="shared" si="83"/>
        <v>2407.8424999999997</v>
      </c>
      <c r="J182" s="584">
        <f t="shared" si="83"/>
        <v>2407.8424999999997</v>
      </c>
      <c r="K182" s="584">
        <f t="shared" si="83"/>
        <v>9631.369999999999</v>
      </c>
    </row>
    <row r="183" spans="1:11" x14ac:dyDescent="0.6">
      <c r="A183" s="559" t="s">
        <v>161</v>
      </c>
      <c r="B183" s="575"/>
      <c r="C183" s="586"/>
      <c r="D183" s="566"/>
      <c r="G183" s="570"/>
      <c r="H183" s="570"/>
      <c r="I183" s="570"/>
      <c r="J183" s="570"/>
      <c r="K183" s="570"/>
    </row>
    <row r="184" spans="1:11" x14ac:dyDescent="0.6">
      <c r="A184" s="559" t="s">
        <v>275</v>
      </c>
      <c r="B184" s="572">
        <f>'P&amp;L (QB)'!B171</f>
        <v>10791.2</v>
      </c>
      <c r="C184" s="573">
        <v>15312</v>
      </c>
      <c r="D184" s="574">
        <f t="shared" ref="D184:D188" si="84">K184+B184</f>
        <v>14520.619999999999</v>
      </c>
      <c r="E184" s="570">
        <f t="shared" ref="E184:E188" si="85">C184-D184</f>
        <v>791.38000000000102</v>
      </c>
      <c r="G184" s="570">
        <v>932.35499999999956</v>
      </c>
      <c r="H184" s="570">
        <v>932.35499999999956</v>
      </c>
      <c r="I184" s="570">
        <v>932.35499999999956</v>
      </c>
      <c r="J184" s="570">
        <v>932.35499999999956</v>
      </c>
      <c r="K184" s="570">
        <f>SUM(G184:J184)</f>
        <v>3729.4199999999983</v>
      </c>
    </row>
    <row r="185" spans="1:11" x14ac:dyDescent="0.6">
      <c r="A185" s="559" t="s">
        <v>171</v>
      </c>
      <c r="B185" s="572">
        <f>'P&amp;L (QB)'!B172</f>
        <v>4888.3900000000003</v>
      </c>
      <c r="C185" s="573">
        <v>2000</v>
      </c>
      <c r="D185" s="574">
        <f t="shared" si="84"/>
        <v>5888.39</v>
      </c>
      <c r="E185" s="570">
        <f t="shared" si="85"/>
        <v>-3888.3900000000003</v>
      </c>
      <c r="G185" s="570"/>
      <c r="H185" s="570"/>
      <c r="I185" s="570"/>
      <c r="J185" s="570">
        <v>1000</v>
      </c>
      <c r="K185" s="570">
        <f>SUM(G185:J185)</f>
        <v>1000</v>
      </c>
    </row>
    <row r="186" spans="1:11" x14ac:dyDescent="0.6">
      <c r="A186" s="559" t="s">
        <v>200</v>
      </c>
      <c r="B186" s="572">
        <f>'P&amp;L (QB)'!B173</f>
        <v>3200.12</v>
      </c>
      <c r="C186" s="573">
        <v>2000</v>
      </c>
      <c r="D186" s="574">
        <f t="shared" si="84"/>
        <v>4200.12</v>
      </c>
      <c r="E186" s="570">
        <f t="shared" si="85"/>
        <v>-2200.12</v>
      </c>
      <c r="G186" s="570">
        <v>500</v>
      </c>
      <c r="H186" s="570"/>
      <c r="I186" s="570"/>
      <c r="J186" s="570">
        <v>500</v>
      </c>
      <c r="K186" s="570">
        <f>SUM(G186:J186)</f>
        <v>1000</v>
      </c>
    </row>
    <row r="187" spans="1:11" x14ac:dyDescent="0.6">
      <c r="A187" s="559" t="s">
        <v>162</v>
      </c>
      <c r="B187" s="572">
        <f>'P&amp;L (QB)'!B174</f>
        <v>1835.64</v>
      </c>
      <c r="C187" s="573">
        <v>2000</v>
      </c>
      <c r="D187" s="574">
        <f t="shared" si="84"/>
        <v>1964.65</v>
      </c>
      <c r="E187" s="570">
        <f t="shared" si="85"/>
        <v>35.349999999999909</v>
      </c>
      <c r="G187" s="570">
        <v>32.252499999999998</v>
      </c>
      <c r="H187" s="570">
        <v>32.252499999999998</v>
      </c>
      <c r="I187" s="570">
        <v>32.252499999999998</v>
      </c>
      <c r="J187" s="570">
        <v>32.252499999999998</v>
      </c>
      <c r="K187" s="570">
        <f>SUM(G187:J187)</f>
        <v>129.01</v>
      </c>
    </row>
    <row r="188" spans="1:11" x14ac:dyDescent="0.6">
      <c r="A188" s="559" t="s">
        <v>201</v>
      </c>
      <c r="B188" s="611">
        <f>'P&amp;L (QB)'!B175</f>
        <v>3700</v>
      </c>
      <c r="C188" s="577">
        <v>2000</v>
      </c>
      <c r="D188" s="578">
        <f t="shared" si="84"/>
        <v>4700</v>
      </c>
      <c r="E188" s="579">
        <f t="shared" si="85"/>
        <v>-2700</v>
      </c>
      <c r="G188" s="579">
        <v>500</v>
      </c>
      <c r="H188" s="579"/>
      <c r="I188" s="579"/>
      <c r="J188" s="579">
        <v>500</v>
      </c>
      <c r="K188" s="579">
        <f>SUM(G188:J188)</f>
        <v>1000</v>
      </c>
    </row>
    <row r="189" spans="1:11" x14ac:dyDescent="0.6">
      <c r="A189" s="559" t="s">
        <v>163</v>
      </c>
      <c r="B189" s="581">
        <f>SUM(B184:B188)</f>
        <v>24415.35</v>
      </c>
      <c r="C189" s="582">
        <f t="shared" ref="C189:E189" si="86">SUM(C184:C188)</f>
        <v>23312</v>
      </c>
      <c r="D189" s="583">
        <f t="shared" si="86"/>
        <v>31273.78</v>
      </c>
      <c r="E189" s="584">
        <f t="shared" si="86"/>
        <v>-7961.7799999999988</v>
      </c>
      <c r="G189" s="584">
        <f t="shared" ref="G189:K189" si="87">SUM(G184:G188)</f>
        <v>1964.6074999999996</v>
      </c>
      <c r="H189" s="584">
        <f t="shared" si="87"/>
        <v>964.60749999999962</v>
      </c>
      <c r="I189" s="584">
        <f t="shared" si="87"/>
        <v>964.60749999999962</v>
      </c>
      <c r="J189" s="584">
        <f t="shared" si="87"/>
        <v>2964.6074999999996</v>
      </c>
      <c r="K189" s="584">
        <f t="shared" si="87"/>
        <v>6858.4299999999985</v>
      </c>
    </row>
    <row r="190" spans="1:11" x14ac:dyDescent="0.6">
      <c r="A190" s="559" t="s">
        <v>278</v>
      </c>
      <c r="B190" s="575"/>
      <c r="C190" s="586"/>
      <c r="D190" s="566"/>
      <c r="G190" s="570"/>
      <c r="H190" s="570"/>
      <c r="I190" s="570"/>
      <c r="J190" s="570"/>
      <c r="K190" s="570"/>
    </row>
    <row r="191" spans="1:11" x14ac:dyDescent="0.6">
      <c r="A191" s="559" t="s">
        <v>279</v>
      </c>
      <c r="B191" s="572">
        <f>'P&amp;L (QB)'!B178</f>
        <v>5517.49</v>
      </c>
      <c r="C191" s="586">
        <v>8492</v>
      </c>
      <c r="D191" s="574">
        <f t="shared" ref="D191:D192" si="88">K191+B191</f>
        <v>6727.68</v>
      </c>
      <c r="E191" s="570">
        <f t="shared" ref="E191:E192" si="89">C191-D191</f>
        <v>1764.3199999999997</v>
      </c>
      <c r="G191" s="570">
        <v>302.54750000000013</v>
      </c>
      <c r="H191" s="570">
        <v>302.54750000000013</v>
      </c>
      <c r="I191" s="570">
        <v>302.54750000000013</v>
      </c>
      <c r="J191" s="570">
        <v>302.54750000000013</v>
      </c>
      <c r="K191" s="570">
        <f>SUM(G191:J191)</f>
        <v>1210.1900000000005</v>
      </c>
    </row>
    <row r="192" spans="1:11" x14ac:dyDescent="0.6">
      <c r="A192" s="559" t="s">
        <v>467</v>
      </c>
      <c r="B192" s="576">
        <f>'P&amp;L (QB)'!B179</f>
        <v>0</v>
      </c>
      <c r="C192" s="588"/>
      <c r="D192" s="578">
        <f t="shared" si="88"/>
        <v>0</v>
      </c>
      <c r="E192" s="579">
        <f t="shared" si="89"/>
        <v>0</v>
      </c>
      <c r="G192" s="579"/>
      <c r="H192" s="579"/>
      <c r="I192" s="579"/>
      <c r="J192" s="579"/>
      <c r="K192" s="579">
        <f>SUM(G192:J192)</f>
        <v>0</v>
      </c>
    </row>
    <row r="193" spans="1:11" x14ac:dyDescent="0.6">
      <c r="A193" s="559" t="s">
        <v>277</v>
      </c>
      <c r="B193" s="581">
        <f>SUM(B191:B192)</f>
        <v>5517.49</v>
      </c>
      <c r="C193" s="582">
        <f>SUM(C191:C192)</f>
        <v>8492</v>
      </c>
      <c r="D193" s="583">
        <f>SUM(D190:D192)</f>
        <v>6727.68</v>
      </c>
      <c r="E193" s="584">
        <f t="shared" ref="E193:K193" si="90">SUM(E191:E192)</f>
        <v>1764.3199999999997</v>
      </c>
      <c r="G193" s="584">
        <f t="shared" si="90"/>
        <v>302.54750000000013</v>
      </c>
      <c r="H193" s="584">
        <f t="shared" si="90"/>
        <v>302.54750000000013</v>
      </c>
      <c r="I193" s="584">
        <f t="shared" si="90"/>
        <v>302.54750000000013</v>
      </c>
      <c r="J193" s="584">
        <f t="shared" si="90"/>
        <v>302.54750000000013</v>
      </c>
      <c r="K193" s="584">
        <f t="shared" si="90"/>
        <v>1210.1900000000005</v>
      </c>
    </row>
    <row r="194" spans="1:11" x14ac:dyDescent="0.6">
      <c r="A194" s="559" t="s">
        <v>77</v>
      </c>
      <c r="B194" s="575"/>
      <c r="C194" s="586"/>
      <c r="D194" s="566"/>
      <c r="G194" s="570"/>
      <c r="H194" s="570"/>
      <c r="I194" s="570"/>
      <c r="J194" s="570"/>
      <c r="K194" s="570"/>
    </row>
    <row r="195" spans="1:11" x14ac:dyDescent="0.6">
      <c r="A195" s="559" t="s">
        <v>280</v>
      </c>
      <c r="B195" s="572">
        <f>'P&amp;L (QB)'!B182</f>
        <v>18903.099999999999</v>
      </c>
      <c r="C195" s="586">
        <v>30600</v>
      </c>
      <c r="D195" s="574">
        <f t="shared" ref="D195:D202" si="91">K195+B195</f>
        <v>31653.1</v>
      </c>
      <c r="E195" s="570">
        <f t="shared" ref="E195:E202" si="92">C195-D195</f>
        <v>-1053.0999999999985</v>
      </c>
      <c r="G195" s="570">
        <v>2550</v>
      </c>
      <c r="H195" s="570">
        <v>2550</v>
      </c>
      <c r="I195" s="570">
        <v>2550</v>
      </c>
      <c r="J195" s="570">
        <v>5100</v>
      </c>
      <c r="K195" s="570">
        <f t="shared" ref="K195:K202" si="93">SUM(G195:J195)</f>
        <v>12750</v>
      </c>
    </row>
    <row r="196" spans="1:11" x14ac:dyDescent="0.6">
      <c r="A196" s="559" t="s">
        <v>172</v>
      </c>
      <c r="B196" s="572">
        <f>'P&amp;L (QB)'!B183</f>
        <v>24949.19</v>
      </c>
      <c r="C196" s="586">
        <v>37700</v>
      </c>
      <c r="D196" s="574">
        <f t="shared" si="91"/>
        <v>40758.28</v>
      </c>
      <c r="E196" s="570">
        <f t="shared" si="92"/>
        <v>-3058.2799999999988</v>
      </c>
      <c r="G196" s="570">
        <v>3952.2725</v>
      </c>
      <c r="H196" s="570">
        <v>3952.2725</v>
      </c>
      <c r="I196" s="570">
        <v>3952.2725</v>
      </c>
      <c r="J196" s="570">
        <v>3952.2725</v>
      </c>
      <c r="K196" s="570">
        <f t="shared" si="93"/>
        <v>15809.09</v>
      </c>
    </row>
    <row r="197" spans="1:11" x14ac:dyDescent="0.6">
      <c r="A197" s="559" t="s">
        <v>78</v>
      </c>
      <c r="B197" s="572">
        <f>'P&amp;L (QB)'!B184</f>
        <v>787.92</v>
      </c>
      <c r="C197" s="586">
        <v>2000</v>
      </c>
      <c r="D197" s="574">
        <f t="shared" si="91"/>
        <v>1999.9866666666667</v>
      </c>
      <c r="E197" s="570">
        <f t="shared" si="92"/>
        <v>1.3333333333321207E-2</v>
      </c>
      <c r="G197" s="570">
        <v>303.01666666666665</v>
      </c>
      <c r="H197" s="570">
        <v>303.01666666666665</v>
      </c>
      <c r="I197" s="570">
        <v>303.01666666666665</v>
      </c>
      <c r="J197" s="570">
        <v>303.01666666666665</v>
      </c>
      <c r="K197" s="570">
        <f t="shared" si="93"/>
        <v>1212.0666666666666</v>
      </c>
    </row>
    <row r="198" spans="1:11" x14ac:dyDescent="0.6">
      <c r="A198" s="559" t="s">
        <v>196</v>
      </c>
      <c r="B198" s="572">
        <f>'P&amp;L (QB)'!B185</f>
        <v>4025.57</v>
      </c>
      <c r="C198" s="586">
        <v>9500</v>
      </c>
      <c r="D198" s="574">
        <f t="shared" si="91"/>
        <v>9500.4833333333336</v>
      </c>
      <c r="E198" s="570">
        <f t="shared" si="92"/>
        <v>-0.48333333333357587</v>
      </c>
      <c r="G198" s="570">
        <v>1368.7283333333335</v>
      </c>
      <c r="H198" s="570">
        <v>1368.7283333333335</v>
      </c>
      <c r="I198" s="570">
        <v>1368.7283333333335</v>
      </c>
      <c r="J198" s="570">
        <v>1368.7283333333335</v>
      </c>
      <c r="K198" s="570">
        <f t="shared" si="93"/>
        <v>5474.9133333333339</v>
      </c>
    </row>
    <row r="199" spans="1:11" x14ac:dyDescent="0.6">
      <c r="A199" s="559" t="s">
        <v>111</v>
      </c>
      <c r="B199" s="572">
        <f>'P&amp;L (QB)'!B186</f>
        <v>1500</v>
      </c>
      <c r="C199" s="586">
        <v>3000</v>
      </c>
      <c r="D199" s="574">
        <f t="shared" si="91"/>
        <v>3000</v>
      </c>
      <c r="E199" s="570">
        <f t="shared" si="92"/>
        <v>0</v>
      </c>
      <c r="G199" s="570">
        <v>375</v>
      </c>
      <c r="H199" s="570">
        <v>375</v>
      </c>
      <c r="I199" s="570">
        <v>375</v>
      </c>
      <c r="J199" s="570">
        <v>375</v>
      </c>
      <c r="K199" s="570">
        <f t="shared" si="93"/>
        <v>1500</v>
      </c>
    </row>
    <row r="200" spans="1:11" x14ac:dyDescent="0.6">
      <c r="A200" s="559" t="s">
        <v>468</v>
      </c>
      <c r="B200" s="575">
        <f>'P&amp;L (QB)'!B187</f>
        <v>0</v>
      </c>
      <c r="C200" s="586"/>
      <c r="D200" s="574">
        <f t="shared" si="91"/>
        <v>0</v>
      </c>
      <c r="E200" s="570">
        <f t="shared" si="92"/>
        <v>0</v>
      </c>
      <c r="G200" s="570"/>
      <c r="H200" s="570"/>
      <c r="I200" s="570"/>
      <c r="J200" s="570"/>
      <c r="K200" s="570">
        <f t="shared" si="93"/>
        <v>0</v>
      </c>
    </row>
    <row r="201" spans="1:11" x14ac:dyDescent="0.6">
      <c r="A201" s="559" t="s">
        <v>469</v>
      </c>
      <c r="B201" s="575">
        <f>'P&amp;L (QB)'!B188</f>
        <v>0</v>
      </c>
      <c r="C201" s="586"/>
      <c r="D201" s="574">
        <f t="shared" si="91"/>
        <v>0</v>
      </c>
      <c r="E201" s="570">
        <f t="shared" si="92"/>
        <v>0</v>
      </c>
      <c r="G201" s="570"/>
      <c r="H201" s="570"/>
      <c r="I201" s="570"/>
      <c r="J201" s="570"/>
      <c r="K201" s="570">
        <f t="shared" si="93"/>
        <v>0</v>
      </c>
    </row>
    <row r="202" spans="1:11" x14ac:dyDescent="0.6">
      <c r="A202" s="559" t="s">
        <v>470</v>
      </c>
      <c r="B202" s="576">
        <f>'P&amp;L (QB)'!B189</f>
        <v>0</v>
      </c>
      <c r="C202" s="588"/>
      <c r="D202" s="578">
        <f t="shared" si="91"/>
        <v>0</v>
      </c>
      <c r="E202" s="579">
        <f t="shared" si="92"/>
        <v>0</v>
      </c>
      <c r="G202" s="579"/>
      <c r="H202" s="579"/>
      <c r="I202" s="579"/>
      <c r="J202" s="579"/>
      <c r="K202" s="579">
        <f t="shared" si="93"/>
        <v>0</v>
      </c>
    </row>
    <row r="203" spans="1:11" x14ac:dyDescent="0.6">
      <c r="A203" s="559" t="s">
        <v>79</v>
      </c>
      <c r="B203" s="581">
        <f>SUM(B195:B202)</f>
        <v>50165.779999999992</v>
      </c>
      <c r="C203" s="582">
        <f t="shared" ref="C203:E203" si="94">SUM(C195:C202)</f>
        <v>82800</v>
      </c>
      <c r="D203" s="583">
        <f t="shared" si="94"/>
        <v>86911.85</v>
      </c>
      <c r="E203" s="584">
        <f t="shared" si="94"/>
        <v>-4111.8499999999976</v>
      </c>
      <c r="G203" s="584">
        <f t="shared" ref="G203:K203" si="95">SUM(G195:G202)</f>
        <v>8549.0174999999999</v>
      </c>
      <c r="H203" s="584">
        <f t="shared" si="95"/>
        <v>8549.0174999999999</v>
      </c>
      <c r="I203" s="584">
        <f t="shared" si="95"/>
        <v>8549.0174999999999</v>
      </c>
      <c r="J203" s="584">
        <f t="shared" si="95"/>
        <v>11099.017499999998</v>
      </c>
      <c r="K203" s="584">
        <f t="shared" si="95"/>
        <v>36746.07</v>
      </c>
    </row>
    <row r="204" spans="1:11" x14ac:dyDescent="0.6">
      <c r="A204" s="559" t="s">
        <v>471</v>
      </c>
      <c r="B204" s="575"/>
      <c r="C204" s="586"/>
      <c r="D204" s="566"/>
      <c r="G204" s="570"/>
      <c r="H204" s="570"/>
      <c r="I204" s="570"/>
      <c r="J204" s="570"/>
      <c r="K204" s="570"/>
    </row>
    <row r="205" spans="1:11" x14ac:dyDescent="0.6">
      <c r="A205" s="559" t="s">
        <v>472</v>
      </c>
      <c r="B205" s="611">
        <f>'P&amp;L (QB)'!B192</f>
        <v>29602.82</v>
      </c>
      <c r="C205" s="588">
        <v>34000</v>
      </c>
      <c r="D205" s="578">
        <f t="shared" ref="D205" si="96">K205+B205</f>
        <v>34000.82</v>
      </c>
      <c r="E205" s="579">
        <f>C205-D205</f>
        <v>-0.81999999999970896</v>
      </c>
      <c r="G205" s="579">
        <v>1099.5</v>
      </c>
      <c r="H205" s="579">
        <v>1099.5</v>
      </c>
      <c r="I205" s="579">
        <v>1099.5</v>
      </c>
      <c r="J205" s="579">
        <v>1099.5</v>
      </c>
      <c r="K205" s="579">
        <f>SUM(G205:J205)</f>
        <v>4398</v>
      </c>
    </row>
    <row r="206" spans="1:11" x14ac:dyDescent="0.6">
      <c r="A206" s="559" t="s">
        <v>473</v>
      </c>
      <c r="B206" s="581">
        <f>SUM(B205)</f>
        <v>29602.82</v>
      </c>
      <c r="C206" s="582">
        <f>SUM(C205)</f>
        <v>34000</v>
      </c>
      <c r="D206" s="583">
        <f>SUM(D204:D205)</f>
        <v>34000.82</v>
      </c>
      <c r="E206" s="584">
        <f t="shared" ref="E206:K206" si="97">SUM(E205)</f>
        <v>-0.81999999999970896</v>
      </c>
      <c r="G206" s="584">
        <f t="shared" si="97"/>
        <v>1099.5</v>
      </c>
      <c r="H206" s="584">
        <f t="shared" si="97"/>
        <v>1099.5</v>
      </c>
      <c r="I206" s="584">
        <f t="shared" si="97"/>
        <v>1099.5</v>
      </c>
      <c r="J206" s="584">
        <f t="shared" si="97"/>
        <v>1099.5</v>
      </c>
      <c r="K206" s="584">
        <f t="shared" si="97"/>
        <v>4398</v>
      </c>
    </row>
    <row r="207" spans="1:11" x14ac:dyDescent="0.6">
      <c r="A207" s="559" t="s">
        <v>474</v>
      </c>
      <c r="B207" s="575"/>
      <c r="C207" s="586"/>
      <c r="D207" s="566"/>
      <c r="G207" s="570"/>
      <c r="H207" s="570"/>
      <c r="I207" s="570"/>
      <c r="J207" s="570"/>
      <c r="K207" s="570"/>
    </row>
    <row r="208" spans="1:11" x14ac:dyDescent="0.6">
      <c r="A208" s="559" t="s">
        <v>475</v>
      </c>
      <c r="B208" s="575">
        <f>'P&amp;L (QB)'!B195</f>
        <v>0</v>
      </c>
      <c r="C208" s="586">
        <v>5000</v>
      </c>
      <c r="D208" s="574">
        <f t="shared" ref="D208:D210" si="98">K208+B208</f>
        <v>5000</v>
      </c>
      <c r="E208" s="570">
        <f t="shared" ref="E208:E210" si="99">C208-D208</f>
        <v>0</v>
      </c>
      <c r="G208" s="570"/>
      <c r="H208" s="570"/>
      <c r="I208" s="570"/>
      <c r="J208" s="570">
        <v>5000</v>
      </c>
      <c r="K208" s="570">
        <f>SUM(G208:J208)</f>
        <v>5000</v>
      </c>
    </row>
    <row r="209" spans="1:11" x14ac:dyDescent="0.6">
      <c r="A209" s="559" t="s">
        <v>476</v>
      </c>
      <c r="B209" s="575">
        <f>'P&amp;L (QB)'!B196</f>
        <v>0</v>
      </c>
      <c r="C209" s="586"/>
      <c r="D209" s="574">
        <f t="shared" si="98"/>
        <v>0</v>
      </c>
      <c r="E209" s="570">
        <f t="shared" si="99"/>
        <v>0</v>
      </c>
      <c r="G209" s="570"/>
      <c r="H209" s="570"/>
      <c r="I209" s="570"/>
      <c r="J209" s="570"/>
      <c r="K209" s="570">
        <f>SUM(G209:J209)</f>
        <v>0</v>
      </c>
    </row>
    <row r="210" spans="1:11" x14ac:dyDescent="0.6">
      <c r="A210" s="559" t="s">
        <v>477</v>
      </c>
      <c r="B210" s="576">
        <f>'P&amp;L (QB)'!B197</f>
        <v>0</v>
      </c>
      <c r="C210" s="588"/>
      <c r="D210" s="578">
        <f t="shared" si="98"/>
        <v>0</v>
      </c>
      <c r="E210" s="579">
        <f t="shared" si="99"/>
        <v>0</v>
      </c>
      <c r="G210" s="579"/>
      <c r="H210" s="579"/>
      <c r="I210" s="579"/>
      <c r="J210" s="579"/>
      <c r="K210" s="579">
        <f>SUM(G210:J210)</f>
        <v>0</v>
      </c>
    </row>
    <row r="211" spans="1:11" x14ac:dyDescent="0.6">
      <c r="A211" s="559" t="s">
        <v>478</v>
      </c>
      <c r="B211" s="581">
        <f>SUM(B208:B210)</f>
        <v>0</v>
      </c>
      <c r="C211" s="582">
        <f>SUM(C208:C210)</f>
        <v>5000</v>
      </c>
      <c r="D211" s="583">
        <f>SUM(D207:D210)</f>
        <v>5000</v>
      </c>
      <c r="E211" s="584">
        <f t="shared" ref="E211:K211" si="100">SUM(E208:E210)</f>
        <v>0</v>
      </c>
      <c r="G211" s="584">
        <f t="shared" si="100"/>
        <v>0</v>
      </c>
      <c r="H211" s="584">
        <f t="shared" si="100"/>
        <v>0</v>
      </c>
      <c r="I211" s="584">
        <f t="shared" si="100"/>
        <v>0</v>
      </c>
      <c r="J211" s="584">
        <f t="shared" si="100"/>
        <v>5000</v>
      </c>
      <c r="K211" s="584">
        <f t="shared" si="100"/>
        <v>5000</v>
      </c>
    </row>
    <row r="212" spans="1:11" x14ac:dyDescent="0.6">
      <c r="A212" s="559" t="s">
        <v>203</v>
      </c>
      <c r="B212" s="575"/>
      <c r="C212" s="586"/>
      <c r="D212" s="566"/>
      <c r="G212" s="570"/>
      <c r="H212" s="570"/>
      <c r="I212" s="570"/>
      <c r="J212" s="570"/>
      <c r="K212" s="570"/>
    </row>
    <row r="213" spans="1:11" x14ac:dyDescent="0.6">
      <c r="A213" s="559" t="s">
        <v>479</v>
      </c>
      <c r="B213" s="572">
        <f>'P&amp;L (QB)'!B200</f>
        <v>2312.9</v>
      </c>
      <c r="C213" s="586">
        <v>3000</v>
      </c>
      <c r="D213" s="574">
        <f t="shared" ref="D213:D214" si="101">K213+B213</f>
        <v>2999.9</v>
      </c>
      <c r="E213" s="570">
        <f t="shared" ref="E213:E214" si="102">C213-D213</f>
        <v>9.9999999999909051E-2</v>
      </c>
      <c r="G213" s="570">
        <v>171.75</v>
      </c>
      <c r="H213" s="570">
        <v>171.75</v>
      </c>
      <c r="I213" s="570">
        <v>171.75</v>
      </c>
      <c r="J213" s="570">
        <v>171.75</v>
      </c>
      <c r="K213" s="570">
        <f>SUM(G213:J213)</f>
        <v>687</v>
      </c>
    </row>
    <row r="214" spans="1:11" x14ac:dyDescent="0.6">
      <c r="A214" s="559" t="s">
        <v>480</v>
      </c>
      <c r="B214" s="576">
        <f>'P&amp;L (QB)'!B201</f>
        <v>0</v>
      </c>
      <c r="C214" s="588"/>
      <c r="D214" s="578">
        <f t="shared" si="101"/>
        <v>0</v>
      </c>
      <c r="E214" s="579">
        <f t="shared" si="102"/>
        <v>0</v>
      </c>
      <c r="G214" s="579"/>
      <c r="H214" s="579"/>
      <c r="I214" s="579"/>
      <c r="J214" s="579"/>
      <c r="K214" s="579">
        <f>SUM(G214:J214)</f>
        <v>0</v>
      </c>
    </row>
    <row r="215" spans="1:11" x14ac:dyDescent="0.6">
      <c r="A215" s="559" t="s">
        <v>204</v>
      </c>
      <c r="B215" s="581">
        <f>SUM(B213:B214)</f>
        <v>2312.9</v>
      </c>
      <c r="C215" s="582">
        <f>SUM(C213:C214)</f>
        <v>3000</v>
      </c>
      <c r="D215" s="583">
        <f>SUM(D212:D214)</f>
        <v>2999.9</v>
      </c>
      <c r="E215" s="584">
        <f t="shared" ref="E215:K215" si="103">SUM(E213:E214)</f>
        <v>9.9999999999909051E-2</v>
      </c>
      <c r="G215" s="584">
        <f t="shared" si="103"/>
        <v>171.75</v>
      </c>
      <c r="H215" s="584">
        <f t="shared" si="103"/>
        <v>171.75</v>
      </c>
      <c r="I215" s="584">
        <f t="shared" si="103"/>
        <v>171.75</v>
      </c>
      <c r="J215" s="584">
        <f t="shared" si="103"/>
        <v>171.75</v>
      </c>
      <c r="K215" s="584">
        <f t="shared" si="103"/>
        <v>687</v>
      </c>
    </row>
    <row r="216" spans="1:11" x14ac:dyDescent="0.6">
      <c r="A216" s="559" t="s">
        <v>80</v>
      </c>
      <c r="B216" s="575"/>
      <c r="C216" s="586"/>
      <c r="D216" s="566"/>
      <c r="G216" s="570"/>
      <c r="H216" s="570"/>
      <c r="I216" s="570"/>
      <c r="J216" s="570"/>
      <c r="K216" s="570"/>
    </row>
    <row r="217" spans="1:11" x14ac:dyDescent="0.6">
      <c r="A217" s="559" t="s">
        <v>81</v>
      </c>
      <c r="B217" s="572">
        <f>'P&amp;L (QB)'!B204</f>
        <v>13397.57</v>
      </c>
      <c r="C217" s="586">
        <v>26640</v>
      </c>
      <c r="D217" s="574">
        <f t="shared" ref="D217:D218" si="104">K217+B217</f>
        <v>20512.05</v>
      </c>
      <c r="E217" s="612">
        <f t="shared" ref="E217:E218" si="105">C217-D217</f>
        <v>6127.9500000000007</v>
      </c>
      <c r="G217" s="570">
        <v>1778.62</v>
      </c>
      <c r="H217" s="570">
        <v>1778.62</v>
      </c>
      <c r="I217" s="570">
        <v>1778.62</v>
      </c>
      <c r="J217" s="570">
        <v>1778.62</v>
      </c>
      <c r="K217" s="570">
        <f>SUM(G217:J217)</f>
        <v>7114.48</v>
      </c>
    </row>
    <row r="218" spans="1:11" x14ac:dyDescent="0.6">
      <c r="A218" s="559" t="s">
        <v>158</v>
      </c>
      <c r="B218" s="611">
        <f>'P&amp;L (QB)'!B205</f>
        <v>221.92</v>
      </c>
      <c r="C218" s="588">
        <v>1100</v>
      </c>
      <c r="D218" s="578">
        <f t="shared" si="104"/>
        <v>951.92</v>
      </c>
      <c r="E218" s="613">
        <f t="shared" si="105"/>
        <v>148.08000000000004</v>
      </c>
      <c r="G218" s="579">
        <v>182.5</v>
      </c>
      <c r="H218" s="579">
        <v>182.5</v>
      </c>
      <c r="I218" s="579">
        <v>182.5</v>
      </c>
      <c r="J218" s="579">
        <v>182.5</v>
      </c>
      <c r="K218" s="579">
        <f>SUM(G218:J218)</f>
        <v>730</v>
      </c>
    </row>
    <row r="219" spans="1:11" x14ac:dyDescent="0.6">
      <c r="A219" s="559" t="s">
        <v>82</v>
      </c>
      <c r="B219" s="581">
        <f>SUM(B217:B218)</f>
        <v>13619.49</v>
      </c>
      <c r="C219" s="582">
        <f t="shared" ref="C219:E219" si="106">SUM(C217:C218)</f>
        <v>27740</v>
      </c>
      <c r="D219" s="583">
        <f t="shared" si="106"/>
        <v>21463.969999999998</v>
      </c>
      <c r="E219" s="584">
        <f t="shared" si="106"/>
        <v>6276.0300000000007</v>
      </c>
      <c r="G219" s="584">
        <f t="shared" ref="G219:K219" si="107">SUM(G217:G218)</f>
        <v>1961.12</v>
      </c>
      <c r="H219" s="584">
        <f t="shared" si="107"/>
        <v>1961.12</v>
      </c>
      <c r="I219" s="584">
        <f t="shared" si="107"/>
        <v>1961.12</v>
      </c>
      <c r="J219" s="584">
        <f t="shared" si="107"/>
        <v>1961.12</v>
      </c>
      <c r="K219" s="584">
        <f t="shared" si="107"/>
        <v>7844.48</v>
      </c>
    </row>
    <row r="220" spans="1:11" x14ac:dyDescent="0.6">
      <c r="A220" s="559" t="s">
        <v>83</v>
      </c>
      <c r="B220" s="575"/>
      <c r="C220" s="586"/>
      <c r="D220" s="566"/>
      <c r="G220" s="570"/>
      <c r="H220" s="570"/>
      <c r="I220" s="570"/>
      <c r="J220" s="570"/>
      <c r="K220" s="570"/>
    </row>
    <row r="221" spans="1:11" x14ac:dyDescent="0.6">
      <c r="A221" s="559" t="s">
        <v>281</v>
      </c>
      <c r="B221" s="572">
        <f>'P&amp;L (QB)'!B208</f>
        <v>3157.9</v>
      </c>
      <c r="C221" s="586">
        <v>6000</v>
      </c>
      <c r="D221" s="574">
        <f t="shared" ref="D221:D223" si="108">K221+B221</f>
        <v>6000</v>
      </c>
      <c r="E221" s="612">
        <f t="shared" ref="E221:E223" si="109">C221-D221</f>
        <v>0</v>
      </c>
      <c r="G221" s="570">
        <v>710.52499999999998</v>
      </c>
      <c r="H221" s="570">
        <v>710.52499999999998</v>
      </c>
      <c r="I221" s="570">
        <v>710.52499999999998</v>
      </c>
      <c r="J221" s="570">
        <v>710.52499999999998</v>
      </c>
      <c r="K221" s="570">
        <f>SUM(G221:J221)</f>
        <v>2842.1</v>
      </c>
    </row>
    <row r="222" spans="1:11" x14ac:dyDescent="0.6">
      <c r="A222" s="559" t="s">
        <v>84</v>
      </c>
      <c r="B222" s="572">
        <f>'P&amp;L (QB)'!B209</f>
        <v>1318.38</v>
      </c>
      <c r="C222" s="586">
        <v>20000</v>
      </c>
      <c r="D222" s="574">
        <f t="shared" si="108"/>
        <v>19999.98</v>
      </c>
      <c r="E222" s="612">
        <f t="shared" si="109"/>
        <v>2.0000000000436557E-2</v>
      </c>
      <c r="G222" s="570">
        <v>4670.3999999999996</v>
      </c>
      <c r="H222" s="570">
        <v>4670.3999999999996</v>
      </c>
      <c r="I222" s="570">
        <v>4670.3999999999996</v>
      </c>
      <c r="J222" s="570">
        <v>4670.3999999999996</v>
      </c>
      <c r="K222" s="570">
        <f>SUM(G222:J222)</f>
        <v>18681.599999999999</v>
      </c>
    </row>
    <row r="223" spans="1:11" x14ac:dyDescent="0.6">
      <c r="A223" s="559" t="s">
        <v>282</v>
      </c>
      <c r="B223" s="611">
        <f>'P&amp;L (QB)'!B210</f>
        <v>5991.87</v>
      </c>
      <c r="C223" s="588">
        <v>5000</v>
      </c>
      <c r="D223" s="578">
        <f t="shared" si="108"/>
        <v>10000</v>
      </c>
      <c r="E223" s="613">
        <f t="shared" si="109"/>
        <v>-5000</v>
      </c>
      <c r="G223" s="579">
        <v>1002.0325</v>
      </c>
      <c r="H223" s="579">
        <v>1002.0325</v>
      </c>
      <c r="I223" s="579">
        <v>1002.0325</v>
      </c>
      <c r="J223" s="579">
        <v>1002.0325</v>
      </c>
      <c r="K223" s="579">
        <f>SUM(G223:J223)</f>
        <v>4008.13</v>
      </c>
    </row>
    <row r="224" spans="1:11" x14ac:dyDescent="0.6">
      <c r="A224" s="559" t="s">
        <v>85</v>
      </c>
      <c r="B224" s="581">
        <f>SUM(B221:B223)</f>
        <v>10468.150000000001</v>
      </c>
      <c r="C224" s="582">
        <f>SUM(C221:C223)</f>
        <v>31000</v>
      </c>
      <c r="D224" s="583">
        <f>SUM(D220:D223)</f>
        <v>35999.979999999996</v>
      </c>
      <c r="E224" s="584">
        <f t="shared" ref="E224:K224" si="110">SUM(E221:E223)</f>
        <v>-4999.9799999999996</v>
      </c>
      <c r="G224" s="584">
        <f t="shared" si="110"/>
        <v>6382.9574999999995</v>
      </c>
      <c r="H224" s="584">
        <f t="shared" si="110"/>
        <v>6382.9574999999995</v>
      </c>
      <c r="I224" s="584">
        <f t="shared" si="110"/>
        <v>6382.9574999999995</v>
      </c>
      <c r="J224" s="584">
        <f t="shared" si="110"/>
        <v>6382.9574999999995</v>
      </c>
      <c r="K224" s="584">
        <f t="shared" si="110"/>
        <v>25531.829999999998</v>
      </c>
    </row>
    <row r="225" spans="1:11" x14ac:dyDescent="0.6">
      <c r="A225" s="559" t="s">
        <v>86</v>
      </c>
      <c r="B225" s="575"/>
      <c r="C225" s="586"/>
      <c r="D225" s="566"/>
      <c r="G225" s="570"/>
      <c r="H225" s="570"/>
      <c r="I225" s="570"/>
      <c r="J225" s="570"/>
      <c r="K225" s="570"/>
    </row>
    <row r="226" spans="1:11" x14ac:dyDescent="0.6">
      <c r="A226" s="559" t="s">
        <v>110</v>
      </c>
      <c r="B226" s="611">
        <f>'P&amp;L (QB)'!B213</f>
        <v>2992.8</v>
      </c>
      <c r="C226" s="588">
        <v>3000</v>
      </c>
      <c r="D226" s="578">
        <f t="shared" ref="D226" si="111">K226+B226</f>
        <v>2992.8</v>
      </c>
      <c r="E226" s="579">
        <f>C226-D226</f>
        <v>7.1999999999998181</v>
      </c>
      <c r="G226" s="579"/>
      <c r="H226" s="579"/>
      <c r="I226" s="579"/>
      <c r="J226" s="579"/>
      <c r="K226" s="579">
        <f>SUM(G226:J226)</f>
        <v>0</v>
      </c>
    </row>
    <row r="227" spans="1:11" x14ac:dyDescent="0.6">
      <c r="A227" s="559" t="s">
        <v>87</v>
      </c>
      <c r="B227" s="581">
        <f>SUM(B226)</f>
        <v>2992.8</v>
      </c>
      <c r="C227" s="582">
        <f>SUM(C226)</f>
        <v>3000</v>
      </c>
      <c r="D227" s="583">
        <f>SUM(D225:D226)</f>
        <v>2992.8</v>
      </c>
      <c r="E227" s="584">
        <f t="shared" ref="E227:K227" si="112">SUM(E226)</f>
        <v>7.1999999999998181</v>
      </c>
      <c r="G227" s="584">
        <f t="shared" si="112"/>
        <v>0</v>
      </c>
      <c r="H227" s="584">
        <f t="shared" si="112"/>
        <v>0</v>
      </c>
      <c r="I227" s="584">
        <f t="shared" si="112"/>
        <v>0</v>
      </c>
      <c r="J227" s="584">
        <f t="shared" si="112"/>
        <v>0</v>
      </c>
      <c r="K227" s="584">
        <f t="shared" si="112"/>
        <v>0</v>
      </c>
    </row>
    <row r="228" spans="1:11" x14ac:dyDescent="0.6">
      <c r="A228" s="559" t="s">
        <v>88</v>
      </c>
      <c r="B228" s="575"/>
      <c r="C228" s="586"/>
      <c r="D228" s="566"/>
      <c r="G228" s="570"/>
      <c r="H228" s="570"/>
      <c r="I228" s="570"/>
      <c r="J228" s="570"/>
      <c r="K228" s="570"/>
    </row>
    <row r="229" spans="1:11" x14ac:dyDescent="0.6">
      <c r="A229" s="559" t="s">
        <v>89</v>
      </c>
      <c r="B229" s="611">
        <f>'P&amp;L (QB)'!B216</f>
        <v>20589.78</v>
      </c>
      <c r="C229" s="588">
        <v>18060</v>
      </c>
      <c r="D229" s="578">
        <f t="shared" ref="D229" si="113">K229+B229</f>
        <v>23000</v>
      </c>
      <c r="E229" s="579">
        <f>C229-D229</f>
        <v>-4940</v>
      </c>
      <c r="G229" s="579">
        <v>602.55500000000029</v>
      </c>
      <c r="H229" s="579">
        <v>602.55500000000029</v>
      </c>
      <c r="I229" s="579">
        <v>602.55500000000029</v>
      </c>
      <c r="J229" s="579">
        <v>602.55500000000029</v>
      </c>
      <c r="K229" s="579">
        <f>SUM(G229:J229)</f>
        <v>2410.2200000000012</v>
      </c>
    </row>
    <row r="230" spans="1:11" x14ac:dyDescent="0.6">
      <c r="A230" s="559" t="s">
        <v>90</v>
      </c>
      <c r="B230" s="581">
        <f>SUM(B229)</f>
        <v>20589.78</v>
      </c>
      <c r="C230" s="582">
        <f>SUM(C229)</f>
        <v>18060</v>
      </c>
      <c r="D230" s="583">
        <f>SUM(D228:D229)</f>
        <v>23000</v>
      </c>
      <c r="E230" s="584">
        <f t="shared" ref="E230:K230" si="114">SUM(E229)</f>
        <v>-4940</v>
      </c>
      <c r="G230" s="584">
        <f t="shared" si="114"/>
        <v>602.55500000000029</v>
      </c>
      <c r="H230" s="584">
        <f t="shared" si="114"/>
        <v>602.55500000000029</v>
      </c>
      <c r="I230" s="584">
        <f t="shared" si="114"/>
        <v>602.55500000000029</v>
      </c>
      <c r="J230" s="584">
        <f t="shared" si="114"/>
        <v>602.55500000000029</v>
      </c>
      <c r="K230" s="584">
        <f t="shared" si="114"/>
        <v>2410.2200000000012</v>
      </c>
    </row>
    <row r="231" spans="1:11" x14ac:dyDescent="0.6">
      <c r="A231" s="559" t="s">
        <v>481</v>
      </c>
      <c r="B231" s="575"/>
      <c r="C231" s="586"/>
      <c r="D231" s="566"/>
      <c r="G231" s="570"/>
      <c r="H231" s="570"/>
      <c r="I231" s="570"/>
      <c r="J231" s="570"/>
      <c r="K231" s="570"/>
    </row>
    <row r="232" spans="1:11" x14ac:dyDescent="0.6">
      <c r="A232" s="559" t="s">
        <v>482</v>
      </c>
      <c r="B232" s="611">
        <f>'P&amp;L (QB)'!B219</f>
        <v>1213.8499999999999</v>
      </c>
      <c r="C232" s="588">
        <v>8000</v>
      </c>
      <c r="D232" s="578">
        <f t="shared" ref="D232" si="115">K232+B232</f>
        <v>8000.25</v>
      </c>
      <c r="E232" s="579">
        <f>C232-D232</f>
        <v>-0.25</v>
      </c>
      <c r="G232" s="579">
        <v>1696.6</v>
      </c>
      <c r="H232" s="579">
        <v>1696.6</v>
      </c>
      <c r="I232" s="579">
        <v>1696.6</v>
      </c>
      <c r="J232" s="579">
        <v>1696.6</v>
      </c>
      <c r="K232" s="579">
        <f>SUM(G232:J232)</f>
        <v>6786.4</v>
      </c>
    </row>
    <row r="233" spans="1:11" x14ac:dyDescent="0.6">
      <c r="A233" s="559" t="s">
        <v>483</v>
      </c>
      <c r="B233" s="581">
        <f>SUM(B232)</f>
        <v>1213.8499999999999</v>
      </c>
      <c r="C233" s="582">
        <f>SUM(C232)</f>
        <v>8000</v>
      </c>
      <c r="D233" s="583">
        <f>SUM(D231:D232)</f>
        <v>8000.25</v>
      </c>
      <c r="E233" s="584">
        <f t="shared" ref="E233:K233" si="116">SUM(E232)</f>
        <v>-0.25</v>
      </c>
      <c r="G233" s="584">
        <f t="shared" si="116"/>
        <v>1696.6</v>
      </c>
      <c r="H233" s="584">
        <f t="shared" si="116"/>
        <v>1696.6</v>
      </c>
      <c r="I233" s="584">
        <f t="shared" si="116"/>
        <v>1696.6</v>
      </c>
      <c r="J233" s="584">
        <f t="shared" si="116"/>
        <v>1696.6</v>
      </c>
      <c r="K233" s="584">
        <f t="shared" si="116"/>
        <v>6786.4</v>
      </c>
    </row>
    <row r="234" spans="1:11" x14ac:dyDescent="0.6">
      <c r="A234" s="559" t="s">
        <v>120</v>
      </c>
      <c r="B234" s="575"/>
      <c r="C234" s="586"/>
      <c r="D234" s="566"/>
      <c r="G234" s="570"/>
      <c r="H234" s="570"/>
      <c r="I234" s="570"/>
      <c r="J234" s="570"/>
      <c r="K234" s="570"/>
    </row>
    <row r="235" spans="1:11" x14ac:dyDescent="0.6">
      <c r="A235" s="559" t="s">
        <v>155</v>
      </c>
      <c r="B235" s="572">
        <f>'P&amp;L (QB)'!B222</f>
        <v>711.35</v>
      </c>
      <c r="C235" s="586">
        <v>2500</v>
      </c>
      <c r="D235" s="574">
        <f t="shared" ref="D235:D236" si="117">K235+B235</f>
        <v>711.35</v>
      </c>
      <c r="E235" s="570">
        <f t="shared" ref="E235:E236" si="118">C235-D235</f>
        <v>1788.65</v>
      </c>
      <c r="G235" s="570"/>
      <c r="H235" s="570"/>
      <c r="I235" s="570"/>
      <c r="J235" s="570"/>
      <c r="K235" s="570">
        <f>SUM(G235:J235)</f>
        <v>0</v>
      </c>
    </row>
    <row r="236" spans="1:11" x14ac:dyDescent="0.6">
      <c r="A236" s="559" t="s">
        <v>119</v>
      </c>
      <c r="B236" s="611">
        <f>'P&amp;L (QB)'!B223</f>
        <v>2812.53</v>
      </c>
      <c r="C236" s="588">
        <v>3000</v>
      </c>
      <c r="D236" s="578">
        <f t="shared" si="117"/>
        <v>2812.53</v>
      </c>
      <c r="E236" s="579">
        <f t="shared" si="118"/>
        <v>187.4699999999998</v>
      </c>
      <c r="G236" s="579"/>
      <c r="H236" s="579"/>
      <c r="I236" s="579"/>
      <c r="J236" s="579"/>
      <c r="K236" s="579">
        <f>SUM(G236:J236)</f>
        <v>0</v>
      </c>
    </row>
    <row r="237" spans="1:11" x14ac:dyDescent="0.6">
      <c r="A237" s="559" t="s">
        <v>121</v>
      </c>
      <c r="B237" s="581">
        <f>SUM(B235:B236)</f>
        <v>3523.88</v>
      </c>
      <c r="C237" s="582">
        <f>SUM(C235:C236)</f>
        <v>5500</v>
      </c>
      <c r="D237" s="583">
        <f>SUM(D234:D236)</f>
        <v>3523.88</v>
      </c>
      <c r="E237" s="584">
        <f t="shared" ref="E237:K237" si="119">SUM(E235:E236)</f>
        <v>1976.12</v>
      </c>
      <c r="G237" s="584">
        <f t="shared" si="119"/>
        <v>0</v>
      </c>
      <c r="H237" s="584">
        <f t="shared" si="119"/>
        <v>0</v>
      </c>
      <c r="I237" s="584">
        <f t="shared" si="119"/>
        <v>0</v>
      </c>
      <c r="J237" s="584">
        <f t="shared" si="119"/>
        <v>0</v>
      </c>
      <c r="K237" s="584">
        <f t="shared" si="119"/>
        <v>0</v>
      </c>
    </row>
    <row r="238" spans="1:11" x14ac:dyDescent="0.6">
      <c r="A238" s="559" t="s">
        <v>484</v>
      </c>
      <c r="B238" s="575"/>
      <c r="C238" s="586"/>
      <c r="D238" s="566"/>
      <c r="G238" s="570"/>
      <c r="H238" s="570"/>
      <c r="I238" s="570"/>
      <c r="J238" s="570"/>
      <c r="K238" s="570"/>
    </row>
    <row r="239" spans="1:11" x14ac:dyDescent="0.6">
      <c r="A239" s="559" t="s">
        <v>485</v>
      </c>
      <c r="B239" s="611">
        <f>'P&amp;L (QB)'!B226</f>
        <v>1354.36</v>
      </c>
      <c r="C239" s="588">
        <v>4000</v>
      </c>
      <c r="D239" s="578">
        <f t="shared" ref="D239" si="120">K239+B239</f>
        <v>1854.36</v>
      </c>
      <c r="E239" s="579">
        <f>C239-D239</f>
        <v>2145.6400000000003</v>
      </c>
      <c r="G239" s="579"/>
      <c r="H239" s="579"/>
      <c r="I239" s="579"/>
      <c r="J239" s="579">
        <v>500</v>
      </c>
      <c r="K239" s="579">
        <f>SUM(G239:J239)</f>
        <v>500</v>
      </c>
    </row>
    <row r="240" spans="1:11" x14ac:dyDescent="0.6">
      <c r="A240" s="559" t="s">
        <v>486</v>
      </c>
      <c r="B240" s="581">
        <f>SUM(B239)</f>
        <v>1354.36</v>
      </c>
      <c r="C240" s="582">
        <f>SUM(C239)</f>
        <v>4000</v>
      </c>
      <c r="D240" s="583">
        <f>SUM(D238:D239)</f>
        <v>1854.36</v>
      </c>
      <c r="E240" s="584">
        <f t="shared" ref="E240:K240" si="121">SUM(E239)</f>
        <v>2145.6400000000003</v>
      </c>
      <c r="G240" s="584">
        <f t="shared" si="121"/>
        <v>0</v>
      </c>
      <c r="H240" s="584">
        <f t="shared" si="121"/>
        <v>0</v>
      </c>
      <c r="I240" s="584">
        <f t="shared" si="121"/>
        <v>0</v>
      </c>
      <c r="J240" s="584">
        <f t="shared" si="121"/>
        <v>500</v>
      </c>
      <c r="K240" s="584">
        <f t="shared" si="121"/>
        <v>500</v>
      </c>
    </row>
    <row r="241" spans="1:12" x14ac:dyDescent="0.6">
      <c r="A241" s="559" t="s">
        <v>91</v>
      </c>
      <c r="B241" s="575"/>
      <c r="C241" s="586"/>
      <c r="D241" s="566"/>
      <c r="G241" s="570"/>
      <c r="H241" s="570"/>
      <c r="I241" s="570"/>
      <c r="J241" s="570"/>
      <c r="K241" s="570"/>
    </row>
    <row r="242" spans="1:12" x14ac:dyDescent="0.6">
      <c r="A242" s="559" t="s">
        <v>283</v>
      </c>
      <c r="B242" s="572">
        <f>'P&amp;L (QB)'!B229</f>
        <v>329.55</v>
      </c>
      <c r="C242" s="586">
        <v>200</v>
      </c>
      <c r="D242" s="574">
        <f t="shared" ref="D242:D246" si="122">K242+B242</f>
        <v>429.55</v>
      </c>
      <c r="E242" s="570">
        <f t="shared" ref="E242:E246" si="123">C242-D242</f>
        <v>-229.55</v>
      </c>
      <c r="G242" s="570">
        <v>25</v>
      </c>
      <c r="H242" s="570">
        <v>25</v>
      </c>
      <c r="I242" s="570">
        <v>25</v>
      </c>
      <c r="J242" s="570">
        <v>25</v>
      </c>
      <c r="K242" s="570">
        <f>SUM(G242:J242)</f>
        <v>100</v>
      </c>
    </row>
    <row r="243" spans="1:12" x14ac:dyDescent="0.6">
      <c r="A243" s="559" t="s">
        <v>159</v>
      </c>
      <c r="B243" s="572">
        <f>'P&amp;L (QB)'!B230</f>
        <v>109.21</v>
      </c>
      <c r="C243" s="586"/>
      <c r="D243" s="574">
        <f t="shared" si="122"/>
        <v>309.20999999999998</v>
      </c>
      <c r="E243" s="570">
        <f t="shared" si="123"/>
        <v>-309.20999999999998</v>
      </c>
      <c r="G243" s="570">
        <v>50</v>
      </c>
      <c r="H243" s="570">
        <v>50</v>
      </c>
      <c r="I243" s="570">
        <v>50</v>
      </c>
      <c r="J243" s="570">
        <v>50</v>
      </c>
      <c r="K243" s="570">
        <f>SUM(G243:J243)</f>
        <v>200</v>
      </c>
    </row>
    <row r="244" spans="1:12" x14ac:dyDescent="0.6">
      <c r="A244" s="559" t="s">
        <v>92</v>
      </c>
      <c r="B244" s="575">
        <f>'P&amp;L (QB)'!B231</f>
        <v>0</v>
      </c>
      <c r="C244" s="586">
        <v>1000</v>
      </c>
      <c r="D244" s="574">
        <f t="shared" si="122"/>
        <v>0</v>
      </c>
      <c r="E244" s="570">
        <f t="shared" si="123"/>
        <v>1000</v>
      </c>
      <c r="G244" s="570">
        <v>0</v>
      </c>
      <c r="H244" s="570">
        <f t="shared" ref="H244:J244" si="124">G244</f>
        <v>0</v>
      </c>
      <c r="I244" s="570">
        <f t="shared" si="124"/>
        <v>0</v>
      </c>
      <c r="J244" s="570">
        <f t="shared" si="124"/>
        <v>0</v>
      </c>
      <c r="K244" s="570">
        <f>SUM(G244:J244)</f>
        <v>0</v>
      </c>
    </row>
    <row r="245" spans="1:12" x14ac:dyDescent="0.6">
      <c r="A245" s="559" t="s">
        <v>128</v>
      </c>
      <c r="B245" s="575">
        <f>'P&amp;L (QB)'!B232</f>
        <v>0</v>
      </c>
      <c r="C245" s="586"/>
      <c r="D245" s="574">
        <f t="shared" si="122"/>
        <v>0</v>
      </c>
      <c r="E245" s="570">
        <f t="shared" si="123"/>
        <v>0</v>
      </c>
      <c r="G245" s="570"/>
      <c r="H245" s="570"/>
      <c r="I245" s="570"/>
      <c r="J245" s="570"/>
      <c r="K245" s="570">
        <f>SUM(G245:J245)</f>
        <v>0</v>
      </c>
    </row>
    <row r="246" spans="1:12" x14ac:dyDescent="0.6">
      <c r="A246" s="559" t="s">
        <v>284</v>
      </c>
      <c r="B246" s="576">
        <f>'P&amp;L (QB)'!B233</f>
        <v>0</v>
      </c>
      <c r="C246" s="588"/>
      <c r="D246" s="578">
        <f t="shared" si="122"/>
        <v>0</v>
      </c>
      <c r="E246" s="579">
        <f t="shared" si="123"/>
        <v>0</v>
      </c>
      <c r="G246" s="579"/>
      <c r="H246" s="579"/>
      <c r="I246" s="579"/>
      <c r="J246" s="579"/>
      <c r="K246" s="579">
        <f>SUM(G246:J246)</f>
        <v>0</v>
      </c>
    </row>
    <row r="247" spans="1:12" x14ac:dyDescent="0.6">
      <c r="A247" s="559" t="s">
        <v>93</v>
      </c>
      <c r="B247" s="581">
        <f>SUM(B242:B246)</f>
        <v>438.76</v>
      </c>
      <c r="C247" s="582">
        <f>SUM(C242:C246)</f>
        <v>1200</v>
      </c>
      <c r="D247" s="583">
        <f>SUM(D241:D246)</f>
        <v>738.76</v>
      </c>
      <c r="E247" s="584">
        <f t="shared" ref="E247:K247" si="125">SUM(E242:E246)</f>
        <v>461.24</v>
      </c>
      <c r="G247" s="584">
        <f t="shared" si="125"/>
        <v>75</v>
      </c>
      <c r="H247" s="584">
        <f t="shared" si="125"/>
        <v>75</v>
      </c>
      <c r="I247" s="584">
        <f t="shared" si="125"/>
        <v>75</v>
      </c>
      <c r="J247" s="584">
        <f t="shared" si="125"/>
        <v>75</v>
      </c>
      <c r="K247" s="584">
        <f t="shared" si="125"/>
        <v>300</v>
      </c>
    </row>
    <row r="248" spans="1:12" x14ac:dyDescent="0.6">
      <c r="A248" s="559" t="s">
        <v>94</v>
      </c>
      <c r="B248" s="575"/>
      <c r="C248" s="586"/>
      <c r="D248" s="566"/>
      <c r="G248" s="570"/>
      <c r="H248" s="570"/>
      <c r="I248" s="570"/>
      <c r="J248" s="570"/>
      <c r="K248" s="570"/>
    </row>
    <row r="249" spans="1:12" x14ac:dyDescent="0.6">
      <c r="A249" s="559" t="s">
        <v>95</v>
      </c>
      <c r="B249" s="572">
        <f>'P&amp;L (QB)'!B236</f>
        <v>19890.78</v>
      </c>
      <c r="C249" s="586">
        <v>39471</v>
      </c>
      <c r="D249" s="574">
        <f t="shared" ref="D249:D250" si="126">K249+B249</f>
        <v>29135.019999999997</v>
      </c>
      <c r="E249" s="570">
        <f t="shared" ref="E249:E250" si="127">C249-D249</f>
        <v>10335.980000000003</v>
      </c>
      <c r="G249" s="716">
        <v>2311.06</v>
      </c>
      <c r="H249" s="716">
        <v>2311.06</v>
      </c>
      <c r="I249" s="716">
        <v>2311.06</v>
      </c>
      <c r="J249" s="716">
        <v>2311.06</v>
      </c>
      <c r="K249" s="570">
        <f>SUM(G249:J249)</f>
        <v>9244.24</v>
      </c>
      <c r="L249" s="557" t="s">
        <v>918</v>
      </c>
    </row>
    <row r="250" spans="1:12" x14ac:dyDescent="0.6">
      <c r="A250" s="559" t="s">
        <v>487</v>
      </c>
      <c r="B250" s="576">
        <f>'P&amp;L (QB)'!B237</f>
        <v>0</v>
      </c>
      <c r="C250" s="588"/>
      <c r="D250" s="578">
        <f t="shared" si="126"/>
        <v>0</v>
      </c>
      <c r="E250" s="579">
        <f t="shared" si="127"/>
        <v>0</v>
      </c>
      <c r="G250" s="579"/>
      <c r="H250" s="579"/>
      <c r="I250" s="579"/>
      <c r="J250" s="579"/>
      <c r="K250" s="579">
        <f>SUM(G250:J250)</f>
        <v>0</v>
      </c>
    </row>
    <row r="251" spans="1:12" x14ac:dyDescent="0.6">
      <c r="A251" s="559" t="s">
        <v>96</v>
      </c>
      <c r="B251" s="581">
        <f>SUM(B249:B250)</f>
        <v>19890.78</v>
      </c>
      <c r="C251" s="582">
        <f>SUM(C249:C250)</f>
        <v>39471</v>
      </c>
      <c r="D251" s="583">
        <f>SUM(D248:D250)</f>
        <v>29135.019999999997</v>
      </c>
      <c r="E251" s="584">
        <f t="shared" ref="E251:K251" si="128">SUM(E249:E250)</f>
        <v>10335.980000000003</v>
      </c>
      <c r="G251" s="584">
        <f t="shared" si="128"/>
        <v>2311.06</v>
      </c>
      <c r="H251" s="584">
        <f t="shared" si="128"/>
        <v>2311.06</v>
      </c>
      <c r="I251" s="584">
        <f t="shared" si="128"/>
        <v>2311.06</v>
      </c>
      <c r="J251" s="584">
        <f t="shared" si="128"/>
        <v>2311.06</v>
      </c>
      <c r="K251" s="584">
        <f t="shared" si="128"/>
        <v>9244.24</v>
      </c>
    </row>
    <row r="252" spans="1:12" x14ac:dyDescent="0.6">
      <c r="A252" s="559" t="s">
        <v>178</v>
      </c>
      <c r="B252" s="575"/>
      <c r="C252" s="586"/>
      <c r="D252" s="566"/>
      <c r="G252" s="570"/>
      <c r="H252" s="570"/>
      <c r="I252" s="570"/>
      <c r="J252" s="570"/>
      <c r="K252" s="570"/>
    </row>
    <row r="253" spans="1:12" x14ac:dyDescent="0.6">
      <c r="A253" s="559" t="s">
        <v>285</v>
      </c>
      <c r="B253" s="572">
        <f>'P&amp;L (QB)'!B240</f>
        <v>346430.34</v>
      </c>
      <c r="C253" s="586">
        <v>526000</v>
      </c>
      <c r="D253" s="574">
        <f t="shared" ref="D253:D259" si="129">K253+B253</f>
        <v>521830.84</v>
      </c>
      <c r="E253" s="570">
        <f t="shared" ref="E253:E259" si="130">C253-D253</f>
        <v>4169.1599999999744</v>
      </c>
      <c r="G253" s="570">
        <v>43850.125</v>
      </c>
      <c r="H253" s="570">
        <v>43850.125</v>
      </c>
      <c r="I253" s="570">
        <v>43850.125</v>
      </c>
      <c r="J253" s="570">
        <v>43850.125</v>
      </c>
      <c r="K253" s="570">
        <f t="shared" ref="K253:K259" si="131">SUM(G253:J253)</f>
        <v>175400.5</v>
      </c>
    </row>
    <row r="254" spans="1:12" x14ac:dyDescent="0.6">
      <c r="A254" s="559" t="s">
        <v>179</v>
      </c>
      <c r="B254" s="572">
        <f>'P&amp;L (QB)'!B241</f>
        <v>17560.59</v>
      </c>
      <c r="C254" s="586">
        <v>15672</v>
      </c>
      <c r="D254" s="574">
        <f t="shared" si="129"/>
        <v>19060.59</v>
      </c>
      <c r="E254" s="570">
        <f t="shared" si="130"/>
        <v>-3388.59</v>
      </c>
      <c r="G254" s="570">
        <v>375</v>
      </c>
      <c r="H254" s="570">
        <v>375</v>
      </c>
      <c r="I254" s="570">
        <v>375</v>
      </c>
      <c r="J254" s="570">
        <v>375</v>
      </c>
      <c r="K254" s="570">
        <f t="shared" si="131"/>
        <v>1500</v>
      </c>
    </row>
    <row r="255" spans="1:12" x14ac:dyDescent="0.6">
      <c r="A255" s="559" t="s">
        <v>286</v>
      </c>
      <c r="B255" s="572">
        <f>'P&amp;L (QB)'!B242</f>
        <v>33287.94</v>
      </c>
      <c r="C255" s="586">
        <v>60000</v>
      </c>
      <c r="D255" s="574">
        <f t="shared" si="129"/>
        <v>60000</v>
      </c>
      <c r="E255" s="570">
        <f t="shared" si="130"/>
        <v>0</v>
      </c>
      <c r="G255" s="570">
        <v>6678.0149999999994</v>
      </c>
      <c r="H255" s="570">
        <v>6678.0149999999994</v>
      </c>
      <c r="I255" s="570">
        <v>6678.0149999999994</v>
      </c>
      <c r="J255" s="570">
        <v>6678.0149999999994</v>
      </c>
      <c r="K255" s="570">
        <f t="shared" si="131"/>
        <v>26712.059999999998</v>
      </c>
    </row>
    <row r="256" spans="1:12" x14ac:dyDescent="0.6">
      <c r="A256" s="559" t="s">
        <v>488</v>
      </c>
      <c r="B256" s="572">
        <f>'P&amp;L (QB)'!B243</f>
        <v>3535.86</v>
      </c>
      <c r="C256" s="586">
        <v>6000</v>
      </c>
      <c r="D256" s="574">
        <f t="shared" si="129"/>
        <v>5999.8600000000006</v>
      </c>
      <c r="E256" s="570">
        <f t="shared" si="130"/>
        <v>0.13999999999941792</v>
      </c>
      <c r="G256" s="570">
        <v>616.00000000000011</v>
      </c>
      <c r="H256" s="570">
        <v>616.00000000000011</v>
      </c>
      <c r="I256" s="570">
        <v>616.00000000000011</v>
      </c>
      <c r="J256" s="570">
        <v>616.00000000000011</v>
      </c>
      <c r="K256" s="570">
        <f t="shared" si="131"/>
        <v>2464.0000000000005</v>
      </c>
    </row>
    <row r="257" spans="1:12" x14ac:dyDescent="0.6">
      <c r="A257" s="559" t="s">
        <v>489</v>
      </c>
      <c r="B257" s="572">
        <f>'P&amp;L (QB)'!B244</f>
        <v>56116.07</v>
      </c>
      <c r="C257" s="586">
        <v>86400</v>
      </c>
      <c r="D257" s="574">
        <f t="shared" si="129"/>
        <v>86400</v>
      </c>
      <c r="E257" s="570">
        <f t="shared" si="130"/>
        <v>0</v>
      </c>
      <c r="G257" s="570">
        <v>7570.9825000000001</v>
      </c>
      <c r="H257" s="570">
        <v>7570.9825000000001</v>
      </c>
      <c r="I257" s="570">
        <v>7570.9825000000001</v>
      </c>
      <c r="J257" s="570">
        <v>7570.9825000000001</v>
      </c>
      <c r="K257" s="570">
        <f t="shared" si="131"/>
        <v>30283.93</v>
      </c>
    </row>
    <row r="258" spans="1:12" x14ac:dyDescent="0.6">
      <c r="A258" s="559" t="s">
        <v>287</v>
      </c>
      <c r="B258" s="572">
        <f>'P&amp;L (QB)'!B245</f>
        <v>617292.16</v>
      </c>
      <c r="C258" s="586">
        <v>925938.20863992791</v>
      </c>
      <c r="D258" s="574">
        <f t="shared" si="129"/>
        <v>925938.14</v>
      </c>
      <c r="E258" s="570">
        <f t="shared" si="130"/>
        <v>6.8639927892945707E-2</v>
      </c>
      <c r="G258" s="716">
        <v>77161.494999999995</v>
      </c>
      <c r="H258" s="716">
        <v>77161.494999999995</v>
      </c>
      <c r="I258" s="716">
        <v>77161.494999999995</v>
      </c>
      <c r="J258" s="716">
        <v>77161.494999999995</v>
      </c>
      <c r="K258" s="570">
        <f t="shared" si="131"/>
        <v>308645.98</v>
      </c>
      <c r="L258" s="557" t="s">
        <v>919</v>
      </c>
    </row>
    <row r="259" spans="1:12" x14ac:dyDescent="0.6">
      <c r="A259" s="559" t="s">
        <v>490</v>
      </c>
      <c r="B259" s="576">
        <f>'P&amp;L (QB)'!B246</f>
        <v>0</v>
      </c>
      <c r="C259" s="588"/>
      <c r="D259" s="578">
        <f t="shared" si="129"/>
        <v>0</v>
      </c>
      <c r="E259" s="579">
        <f t="shared" si="130"/>
        <v>0</v>
      </c>
      <c r="G259" s="579"/>
      <c r="H259" s="579"/>
      <c r="I259" s="579"/>
      <c r="J259" s="579"/>
      <c r="K259" s="579">
        <f t="shared" si="131"/>
        <v>0</v>
      </c>
    </row>
    <row r="260" spans="1:12" x14ac:dyDescent="0.6">
      <c r="A260" s="559" t="s">
        <v>180</v>
      </c>
      <c r="B260" s="581">
        <f>SUM(B253:B259)</f>
        <v>1074222.96</v>
      </c>
      <c r="C260" s="582">
        <f>SUM(C253:C259)</f>
        <v>1620010.2086399279</v>
      </c>
      <c r="D260" s="583">
        <f>SUM(D252:D259)</f>
        <v>1619229.4300000002</v>
      </c>
      <c r="E260" s="584">
        <f t="shared" ref="E260:K260" si="132">SUM(E253:E259)</f>
        <v>780.77863992786661</v>
      </c>
      <c r="G260" s="584">
        <f t="shared" si="132"/>
        <v>136251.61749999999</v>
      </c>
      <c r="H260" s="584">
        <f t="shared" si="132"/>
        <v>136251.61749999999</v>
      </c>
      <c r="I260" s="584">
        <f t="shared" si="132"/>
        <v>136251.61749999999</v>
      </c>
      <c r="J260" s="584">
        <f t="shared" si="132"/>
        <v>136251.61749999999</v>
      </c>
      <c r="K260" s="584">
        <f t="shared" si="132"/>
        <v>545006.47</v>
      </c>
    </row>
    <row r="261" spans="1:12" x14ac:dyDescent="0.6">
      <c r="A261" s="559" t="s">
        <v>491</v>
      </c>
      <c r="B261" s="575"/>
      <c r="C261" s="586"/>
      <c r="D261" s="566"/>
      <c r="G261" s="570"/>
      <c r="H261" s="570"/>
      <c r="I261" s="570"/>
      <c r="J261" s="570"/>
      <c r="K261" s="570"/>
    </row>
    <row r="262" spans="1:12" x14ac:dyDescent="0.6">
      <c r="A262" s="559" t="s">
        <v>492</v>
      </c>
      <c r="B262" s="572">
        <f>'P&amp;L (QB)'!B249</f>
        <v>23209</v>
      </c>
      <c r="C262" s="586">
        <v>85720</v>
      </c>
      <c r="D262" s="574">
        <f t="shared" ref="D262:D263" si="133">K262+B262</f>
        <v>97336.92</v>
      </c>
      <c r="E262" s="570">
        <f>C262-D262</f>
        <v>-11616.919999999998</v>
      </c>
      <c r="G262" s="716">
        <v>15627.73</v>
      </c>
      <c r="H262" s="716">
        <v>15627.73</v>
      </c>
      <c r="I262" s="716">
        <v>15627.73</v>
      </c>
      <c r="J262" s="716">
        <v>27244.73</v>
      </c>
      <c r="K262" s="570">
        <f>SUM(G262:J262)</f>
        <v>74127.92</v>
      </c>
      <c r="L262" s="557" t="s">
        <v>919</v>
      </c>
    </row>
    <row r="263" spans="1:12" x14ac:dyDescent="0.6">
      <c r="A263" s="559" t="s">
        <v>493</v>
      </c>
      <c r="B263" s="576">
        <f>'P&amp;L (QB)'!B250</f>
        <v>0</v>
      </c>
      <c r="C263" s="588"/>
      <c r="D263" s="590">
        <f t="shared" si="133"/>
        <v>0</v>
      </c>
      <c r="E263" s="589">
        <f t="shared" ref="E263" si="134">C263-D263</f>
        <v>0</v>
      </c>
      <c r="G263" s="579"/>
      <c r="H263" s="579"/>
      <c r="I263" s="579"/>
      <c r="J263" s="579"/>
      <c r="K263" s="579">
        <f>SUM(G263:J263)</f>
        <v>0</v>
      </c>
    </row>
    <row r="264" spans="1:12" x14ac:dyDescent="0.6">
      <c r="A264" s="559" t="s">
        <v>494</v>
      </c>
      <c r="B264" s="581">
        <f>SUM(B262:B263)</f>
        <v>23209</v>
      </c>
      <c r="C264" s="582">
        <f>SUM(C262:C263)</f>
        <v>85720</v>
      </c>
      <c r="D264" s="583">
        <f>SUM(D261:D263)</f>
        <v>97336.92</v>
      </c>
      <c r="E264" s="584">
        <f t="shared" ref="E264:K264" si="135">SUM(E262:E263)</f>
        <v>-11616.919999999998</v>
      </c>
      <c r="G264" s="584">
        <f t="shared" si="135"/>
        <v>15627.73</v>
      </c>
      <c r="H264" s="584">
        <f t="shared" si="135"/>
        <v>15627.73</v>
      </c>
      <c r="I264" s="584">
        <f t="shared" si="135"/>
        <v>15627.73</v>
      </c>
      <c r="J264" s="584">
        <f t="shared" si="135"/>
        <v>27244.73</v>
      </c>
      <c r="K264" s="584">
        <f t="shared" si="135"/>
        <v>74127.92</v>
      </c>
    </row>
    <row r="265" spans="1:12" ht="13.5" hidden="1" customHeight="1" x14ac:dyDescent="0.6">
      <c r="A265" s="559" t="s">
        <v>495</v>
      </c>
      <c r="B265" s="575"/>
      <c r="C265" s="586"/>
      <c r="D265" s="566"/>
      <c r="G265" s="570"/>
      <c r="H265" s="570"/>
      <c r="I265" s="570"/>
      <c r="J265" s="570"/>
      <c r="K265" s="570"/>
    </row>
    <row r="266" spans="1:12" hidden="1" x14ac:dyDescent="0.6">
      <c r="A266" s="559" t="s">
        <v>496</v>
      </c>
      <c r="B266" s="575"/>
      <c r="C266" s="586"/>
      <c r="D266" s="566"/>
      <c r="G266" s="570"/>
      <c r="H266" s="570"/>
      <c r="I266" s="570"/>
      <c r="J266" s="570"/>
      <c r="K266" s="570"/>
    </row>
    <row r="267" spans="1:12" hidden="1" x14ac:dyDescent="0.6">
      <c r="A267" s="559" t="s">
        <v>497</v>
      </c>
      <c r="B267" s="575"/>
      <c r="C267" s="586"/>
      <c r="D267" s="566"/>
      <c r="G267" s="570"/>
      <c r="H267" s="570"/>
      <c r="I267" s="570"/>
      <c r="J267" s="570"/>
      <c r="K267" s="570"/>
    </row>
    <row r="268" spans="1:12" hidden="1" x14ac:dyDescent="0.6">
      <c r="A268" s="559" t="s">
        <v>498</v>
      </c>
      <c r="B268" s="575"/>
      <c r="C268" s="586"/>
      <c r="D268" s="566"/>
      <c r="G268" s="570"/>
      <c r="H268" s="570"/>
      <c r="I268" s="570"/>
      <c r="J268" s="570"/>
      <c r="K268" s="570"/>
    </row>
    <row r="269" spans="1:12" hidden="1" x14ac:dyDescent="0.6">
      <c r="A269" s="559" t="s">
        <v>499</v>
      </c>
      <c r="B269" s="575"/>
      <c r="C269" s="586"/>
      <c r="D269" s="566"/>
      <c r="G269" s="570"/>
      <c r="H269" s="570"/>
      <c r="I269" s="570"/>
      <c r="J269" s="570"/>
      <c r="K269" s="570"/>
    </row>
    <row r="270" spans="1:12" hidden="1" x14ac:dyDescent="0.6">
      <c r="A270" s="559" t="s">
        <v>500</v>
      </c>
      <c r="B270" s="575"/>
      <c r="C270" s="586"/>
      <c r="D270" s="566"/>
      <c r="G270" s="570"/>
      <c r="H270" s="570"/>
      <c r="I270" s="570"/>
      <c r="J270" s="570"/>
      <c r="K270" s="570"/>
    </row>
    <row r="271" spans="1:12" hidden="1" x14ac:dyDescent="0.6">
      <c r="A271" s="559" t="s">
        <v>501</v>
      </c>
      <c r="B271" s="575"/>
      <c r="C271" s="586"/>
      <c r="D271" s="566"/>
      <c r="G271" s="570"/>
      <c r="H271" s="570"/>
      <c r="I271" s="570"/>
      <c r="J271" s="570"/>
      <c r="K271" s="570"/>
    </row>
    <row r="272" spans="1:12" hidden="1" x14ac:dyDescent="0.6">
      <c r="A272" s="559" t="s">
        <v>502</v>
      </c>
      <c r="B272" s="575"/>
      <c r="C272" s="586"/>
      <c r="D272" s="566"/>
      <c r="G272" s="570"/>
      <c r="H272" s="570"/>
      <c r="I272" s="570"/>
      <c r="J272" s="570"/>
      <c r="K272" s="570"/>
    </row>
    <row r="273" spans="1:12 16376:16376" hidden="1" x14ac:dyDescent="0.6">
      <c r="A273" s="559" t="s">
        <v>503</v>
      </c>
      <c r="B273" s="575"/>
      <c r="C273" s="586"/>
      <c r="D273" s="566"/>
      <c r="G273" s="570"/>
      <c r="H273" s="570"/>
      <c r="I273" s="570"/>
      <c r="J273" s="570"/>
      <c r="K273" s="570"/>
    </row>
    <row r="274" spans="1:12 16376:16376" hidden="1" x14ac:dyDescent="0.6">
      <c r="A274" s="559" t="s">
        <v>504</v>
      </c>
      <c r="B274" s="575"/>
      <c r="C274" s="586"/>
      <c r="D274" s="566"/>
      <c r="G274" s="570"/>
      <c r="H274" s="570"/>
      <c r="I274" s="570"/>
      <c r="J274" s="570"/>
      <c r="K274" s="570"/>
    </row>
    <row r="275" spans="1:12 16376:16376" hidden="1" x14ac:dyDescent="0.6">
      <c r="A275" s="559" t="s">
        <v>505</v>
      </c>
      <c r="B275" s="575"/>
      <c r="C275" s="586"/>
      <c r="D275" s="566"/>
      <c r="G275" s="570"/>
      <c r="H275" s="570"/>
      <c r="I275" s="570"/>
      <c r="J275" s="570"/>
      <c r="K275" s="570"/>
    </row>
    <row r="276" spans="1:12 16376:16376" hidden="1" x14ac:dyDescent="0.6">
      <c r="A276" s="559" t="s">
        <v>506</v>
      </c>
      <c r="B276" s="575"/>
      <c r="C276" s="586"/>
      <c r="D276" s="566"/>
      <c r="G276" s="570"/>
      <c r="H276" s="570"/>
      <c r="I276" s="570"/>
      <c r="J276" s="570"/>
      <c r="K276" s="570"/>
    </row>
    <row r="277" spans="1:12 16376:16376" hidden="1" x14ac:dyDescent="0.6">
      <c r="A277" s="559" t="s">
        <v>507</v>
      </c>
      <c r="B277" s="575"/>
      <c r="C277" s="586"/>
      <c r="D277" s="566"/>
      <c r="G277" s="570"/>
      <c r="H277" s="570"/>
      <c r="I277" s="570"/>
      <c r="J277" s="570"/>
      <c r="K277" s="570"/>
    </row>
    <row r="278" spans="1:12 16376:16376" hidden="1" x14ac:dyDescent="0.6">
      <c r="A278" s="559" t="s">
        <v>508</v>
      </c>
      <c r="B278" s="575"/>
      <c r="C278" s="586"/>
      <c r="D278" s="566"/>
      <c r="G278" s="570"/>
      <c r="H278" s="570"/>
      <c r="I278" s="570"/>
      <c r="J278" s="570"/>
      <c r="K278" s="570"/>
    </row>
    <row r="279" spans="1:12 16376:16376" hidden="1" x14ac:dyDescent="0.6">
      <c r="A279" s="559" t="s">
        <v>509</v>
      </c>
      <c r="B279" s="575"/>
      <c r="C279" s="586"/>
      <c r="D279" s="566"/>
      <c r="G279" s="570"/>
      <c r="H279" s="570"/>
      <c r="I279" s="570"/>
      <c r="J279" s="570"/>
      <c r="K279" s="570"/>
    </row>
    <row r="280" spans="1:12 16376:16376" hidden="1" x14ac:dyDescent="0.6">
      <c r="A280" s="559" t="s">
        <v>510</v>
      </c>
      <c r="B280" s="575"/>
      <c r="C280" s="586"/>
      <c r="D280" s="566"/>
      <c r="G280" s="570"/>
      <c r="H280" s="570"/>
      <c r="I280" s="570"/>
      <c r="J280" s="570"/>
      <c r="K280" s="570"/>
    </row>
    <row r="281" spans="1:12 16376:16376" hidden="1" x14ac:dyDescent="0.6">
      <c r="A281" s="559" t="s">
        <v>511</v>
      </c>
      <c r="B281" s="575"/>
      <c r="C281" s="586"/>
      <c r="D281" s="566"/>
      <c r="G281" s="570"/>
      <c r="H281" s="570"/>
      <c r="I281" s="570"/>
      <c r="J281" s="570"/>
      <c r="K281" s="570"/>
    </row>
    <row r="282" spans="1:12 16376:16376" hidden="1" x14ac:dyDescent="0.6">
      <c r="A282" s="559" t="s">
        <v>512</v>
      </c>
      <c r="B282" s="575"/>
      <c r="C282" s="586"/>
      <c r="D282" s="566"/>
      <c r="G282" s="570"/>
      <c r="H282" s="570"/>
      <c r="I282" s="570"/>
      <c r="J282" s="570"/>
      <c r="K282" s="570"/>
    </row>
    <row r="283" spans="1:12 16376:16376" hidden="1" x14ac:dyDescent="0.6">
      <c r="A283" s="559" t="s">
        <v>513</v>
      </c>
      <c r="B283" s="575"/>
      <c r="C283" s="586"/>
      <c r="D283" s="566"/>
      <c r="G283" s="570"/>
      <c r="H283" s="570"/>
      <c r="I283" s="570"/>
      <c r="J283" s="570"/>
      <c r="K283" s="570"/>
    </row>
    <row r="284" spans="1:12 16376:16376" hidden="1" x14ac:dyDescent="0.6">
      <c r="A284" s="559" t="s">
        <v>514</v>
      </c>
      <c r="B284" s="575"/>
      <c r="C284" s="586"/>
      <c r="D284" s="566"/>
      <c r="G284" s="570"/>
      <c r="H284" s="570"/>
      <c r="I284" s="570"/>
      <c r="J284" s="570"/>
      <c r="K284" s="570"/>
    </row>
    <row r="285" spans="1:12 16376:16376" hidden="1" x14ac:dyDescent="0.6">
      <c r="A285" s="559" t="s">
        <v>515</v>
      </c>
      <c r="B285" s="575"/>
      <c r="C285" s="586"/>
      <c r="D285" s="566"/>
      <c r="G285" s="570"/>
      <c r="H285" s="570"/>
      <c r="I285" s="570"/>
      <c r="J285" s="570"/>
      <c r="K285" s="570"/>
    </row>
    <row r="286" spans="1:12 16376:16376" hidden="1" x14ac:dyDescent="0.6">
      <c r="A286" s="559" t="s">
        <v>516</v>
      </c>
      <c r="B286" s="575"/>
      <c r="C286" s="586"/>
      <c r="D286" s="566"/>
      <c r="G286" s="570"/>
      <c r="H286" s="570"/>
      <c r="I286" s="570"/>
      <c r="J286" s="570"/>
      <c r="K286" s="570"/>
    </row>
    <row r="287" spans="1:12 16376:16376" hidden="1" x14ac:dyDescent="0.6">
      <c r="A287" s="559" t="s">
        <v>517</v>
      </c>
      <c r="B287" s="576"/>
      <c r="C287" s="588"/>
      <c r="D287" s="590"/>
      <c r="E287" s="589"/>
      <c r="G287" s="579"/>
      <c r="H287" s="579"/>
      <c r="I287" s="579"/>
      <c r="J287" s="579"/>
      <c r="K287" s="579"/>
    </row>
    <row r="288" spans="1:12 16376:16376" x14ac:dyDescent="0.6">
      <c r="A288" s="559" t="s">
        <v>13</v>
      </c>
      <c r="B288" s="606">
        <f>((((((((((((((((((((((((((((((((((((((((((((((B137)+(B153))+(B157))+(B168))+(B171))+(B177))+(B182))+(B189))+(B193))+(B203))+(B206))+(B211))+(B215))+(B219))+(B224))+(B227))+(B230))+(B233))+(B237))+(B240))+(B247))+(B251))+(B260))+(B264))+(B265))+(B266))+(B267))+(B268))+(B269))+(B270))+(B271))+(B272))+(B273))+(B274))+(B275))+(B276))+(B277))+(B278))+(B279))+(B280))+(B281))+(B282))+(B283))+(B284))+(B285))+(B286))+(B287)</f>
        <v>2180199.0499999998</v>
      </c>
      <c r="C288" s="607">
        <f t="shared" ref="C288:D288" si="136">((((((((((((((((((((((((((((((((((((((((((((((C137)+(C153))+(C157))+(C168))+(C171))+(C177))+(C182))+(C189))+(C193))+(C203))+(C206))+(C211))+(C215))+(C219))+(C224))+(C227))+(C230))+(C233))+(C237))+(C240))+(C247))+(C251))+(C260))+(C264))+(C265))+(C266))+(C267))+(C268))+(C269))+(C270))+(C271))+(C272))+(C273))+(C274))+(C275))+(C276))+(C277))+(C278))+(C279))+(C280))+(C281))+(C282))+(C283))+(C284))+(C285))+(C286))+(C287)</f>
        <v>3550427.8086399278</v>
      </c>
      <c r="D288" s="608">
        <f t="shared" si="136"/>
        <v>3439755.7735100002</v>
      </c>
      <c r="E288" s="609">
        <f ca="1">((((((((((((((((((((((((((((((((((((((((((((((E137)+(E153))+(E157))+(E168))+(E171))+(E177))+(E182))+(E189))+(E193))+(E203))+(E206))+(E211))+(E215))+(E219))+(E224))+(E227))+(E230))+(E233))+(E237))+(E240))+(E247))+(E251))+(E260))+(E264))+(E265))+(E266))+(E267))+(E268))+(E269))+(E270))+(E271))+(E272))+(E273))+(E274))+(E275))+(E276))+(E277))+(E278))+(E279))+(E280))+(E281))+(E282))+(E283))+(E284))+(E285))+(E286))+(E287)</f>
        <v>110672.03512992788</v>
      </c>
      <c r="G288" s="609">
        <f t="shared" ref="G288:K288" si="137">((((((((((((((((((((((((((((((((((((((((((((((G137)+(G153))+(G157))+(G168))+(G171))+(G177))+(G182))+(G189))+(G193))+(G203))+(G206))+(G211))+(G215))+(G219))+(G224))+(G227))+(G230))+(G233))+(G237))+(G240))+(G247))+(G251))+(G260))+(G264))+(G265))+(G266))+(G267))+(G268))+(G269))+(G270))+(G271))+(G272))+(G273))+(G274))+(G275))+(G276))+(G277))+(G278))+(G279))+(G280))+(G281))+(G282))+(G283))+(G284))+(G285))+(G286))+(G287)</f>
        <v>307303.55587749992</v>
      </c>
      <c r="H288" s="609">
        <f t="shared" si="137"/>
        <v>306303.55587749992</v>
      </c>
      <c r="I288" s="609">
        <f t="shared" si="137"/>
        <v>306303.55587749992</v>
      </c>
      <c r="J288" s="609">
        <f t="shared" si="137"/>
        <v>372093.55587749992</v>
      </c>
      <c r="K288" s="609">
        <f t="shared" si="137"/>
        <v>1292004.2235099997</v>
      </c>
      <c r="L288" s="569"/>
      <c r="XEV288" s="614">
        <f>((((((((((((((((((((((((((((((((((((((((((((((XEV137)+(XEV153))+(XEV157))+(XEV168))+(XEV171))+(XEV177))+(XEV182))+(XEV189))+(XEV193))+(XEV203))+(XEV206))+(XEV211))+(XEV215))+(XEV219))+(XEV224))+(XEV227))+(XEV230))+(XEV233))+(XEV237))+(XEV240))+(XEV247))+(XEV251))+(XEV260))+(XEV264))+(XEV265))+(XEV266))+(XEV267))+(XEV268))+(XEV269))+(XEV270))+(XEV271))+(XEV272))+(XEV273))+(XEV274))+(XEV275))+(XEV276))+(XEV277))+(XEV278))+(XEV279))+(XEV280))+(XEV281))+(XEV282))+(XEV283))+(XEV284))+(XEV285))+(XEV286))+(XEV287)</f>
        <v>0</v>
      </c>
    </row>
    <row r="289" spans="1:11 16376:16376" x14ac:dyDescent="0.6">
      <c r="A289" s="559" t="s">
        <v>97</v>
      </c>
      <c r="B289" s="615">
        <f>(B62)-(B288)</f>
        <v>-211085.32999999984</v>
      </c>
      <c r="C289" s="616">
        <f>(C62)-(C288)</f>
        <v>-524198.00863992749</v>
      </c>
      <c r="D289" s="692">
        <f>(D62)-(D288)</f>
        <v>-878561.05351</v>
      </c>
      <c r="E289" s="609">
        <f>D289-C289</f>
        <v>-354363.04487007251</v>
      </c>
      <c r="G289" s="618">
        <f>(G62)-(G288)</f>
        <v>-285158.55587749992</v>
      </c>
      <c r="H289" s="618">
        <f t="shared" ref="H289:J289" si="138">(H62)-(H288)</f>
        <v>145204.44412250008</v>
      </c>
      <c r="I289" s="618">
        <f t="shared" si="138"/>
        <v>-207803.55587749992</v>
      </c>
      <c r="J289" s="618">
        <f t="shared" si="138"/>
        <v>-352165.55587749992</v>
      </c>
      <c r="K289" s="618">
        <f>(K62)-(K288)</f>
        <v>-699923.22350999969</v>
      </c>
      <c r="XEV289" s="614">
        <f>(XEV68)-(XEV288)</f>
        <v>0</v>
      </c>
    </row>
    <row r="290" spans="1:11 16376:16376" x14ac:dyDescent="0.6">
      <c r="A290" s="559" t="s">
        <v>518</v>
      </c>
      <c r="B290" s="575"/>
      <c r="C290" s="586"/>
      <c r="D290" s="566"/>
      <c r="K290" s="571"/>
    </row>
    <row r="291" spans="1:11 16376:16376" x14ac:dyDescent="0.6">
      <c r="A291" s="559" t="s">
        <v>519</v>
      </c>
      <c r="B291" s="572">
        <f>0</f>
        <v>0</v>
      </c>
      <c r="C291" s="586"/>
      <c r="D291" s="566"/>
      <c r="K291" s="571">
        <f>SUM(G291:J291)</f>
        <v>0</v>
      </c>
    </row>
    <row r="292" spans="1:11 16376:16376" x14ac:dyDescent="0.6">
      <c r="A292" s="559" t="s">
        <v>520</v>
      </c>
      <c r="B292" s="575"/>
      <c r="C292" s="586"/>
      <c r="D292" s="566"/>
      <c r="K292" s="571"/>
    </row>
    <row r="293" spans="1:11 16376:16376" x14ac:dyDescent="0.6">
      <c r="A293" s="559" t="s">
        <v>521</v>
      </c>
      <c r="B293" s="572">
        <f>(B291)+(B292)</f>
        <v>0</v>
      </c>
      <c r="C293" s="586"/>
      <c r="D293" s="566"/>
      <c r="K293" s="571">
        <f>SUM(G293:J293)</f>
        <v>0</v>
      </c>
    </row>
    <row r="294" spans="1:11 16376:16376" x14ac:dyDescent="0.6">
      <c r="A294" s="559" t="s">
        <v>522</v>
      </c>
      <c r="B294" s="611">
        <f>(0)-(B293)</f>
        <v>0</v>
      </c>
      <c r="C294" s="588"/>
      <c r="D294" s="590"/>
      <c r="E294" s="589"/>
      <c r="G294" s="589"/>
      <c r="H294" s="589"/>
      <c r="I294" s="589"/>
      <c r="J294" s="589"/>
      <c r="K294" s="580">
        <f>SUM(G294:J294)</f>
        <v>0</v>
      </c>
    </row>
    <row r="295" spans="1:11 16376:16376" x14ac:dyDescent="0.6">
      <c r="A295" s="559" t="s">
        <v>38</v>
      </c>
      <c r="B295" s="615">
        <f>(B289)+(B294)</f>
        <v>-211085.32999999984</v>
      </c>
      <c r="C295" s="616">
        <f>(C289)+(C294)</f>
        <v>-524198.00863992749</v>
      </c>
      <c r="D295" s="617">
        <f>(D289)+(D294)</f>
        <v>-878561.05351</v>
      </c>
      <c r="E295" s="618">
        <f>(E289)+(E294)</f>
        <v>-354363.04487007251</v>
      </c>
      <c r="G295" s="618">
        <f>(G289)+(G294)</f>
        <v>-285158.55587749992</v>
      </c>
      <c r="H295" s="618">
        <f t="shared" ref="H295:K295" si="139">(H289)+(H294)</f>
        <v>145204.44412250008</v>
      </c>
      <c r="I295" s="618">
        <f t="shared" si="139"/>
        <v>-207803.55587749992</v>
      </c>
      <c r="J295" s="618">
        <f t="shared" si="139"/>
        <v>-352165.55587749992</v>
      </c>
      <c r="K295" s="618">
        <f t="shared" si="139"/>
        <v>-699923.22350999969</v>
      </c>
    </row>
    <row r="296" spans="1:11 16376:16376" x14ac:dyDescent="0.6">
      <c r="E296" s="710"/>
    </row>
    <row r="297" spans="1:11 16376:16376" x14ac:dyDescent="0.6">
      <c r="E297" s="710"/>
    </row>
    <row r="299" spans="1:11 16376:16376" ht="26" x14ac:dyDescent="0.6">
      <c r="B299" s="560" t="s">
        <v>785</v>
      </c>
      <c r="C299" s="561" t="s">
        <v>0</v>
      </c>
      <c r="D299" s="562" t="s">
        <v>786</v>
      </c>
      <c r="E299" s="563" t="s">
        <v>5</v>
      </c>
      <c r="G299" s="563" t="s">
        <v>787</v>
      </c>
      <c r="H299" s="563" t="s">
        <v>788</v>
      </c>
      <c r="I299" s="563" t="s">
        <v>789</v>
      </c>
      <c r="J299" s="563" t="s">
        <v>790</v>
      </c>
      <c r="K299" s="563" t="s">
        <v>15</v>
      </c>
    </row>
    <row r="300" spans="1:11 16376:16376" s="643" customFormat="1" x14ac:dyDescent="0.6">
      <c r="A300" s="652" t="s">
        <v>634</v>
      </c>
      <c r="B300" s="642"/>
      <c r="C300" s="646"/>
      <c r="D300" s="648"/>
    </row>
    <row r="301" spans="1:11 16376:16376" s="643" customFormat="1" x14ac:dyDescent="0.6">
      <c r="A301" s="641" t="s">
        <v>638</v>
      </c>
      <c r="B301" s="644">
        <f>'Budget Vs. Actuals Detail'!F239</f>
        <v>0</v>
      </c>
      <c r="C301" s="646"/>
      <c r="D301" s="648"/>
      <c r="G301" s="645"/>
      <c r="H301" s="645"/>
      <c r="I301" s="645"/>
      <c r="J301" s="645"/>
      <c r="K301" s="645">
        <f>SUM(G301:J301)</f>
        <v>0</v>
      </c>
    </row>
    <row r="302" spans="1:11 16376:16376" s="643" customFormat="1" x14ac:dyDescent="0.6">
      <c r="A302" s="641" t="s">
        <v>640</v>
      </c>
      <c r="B302" s="644">
        <f>'Budget Vs. Actuals Detail'!F240</f>
        <v>4379.5</v>
      </c>
      <c r="C302" s="647">
        <v>3084</v>
      </c>
      <c r="D302" s="651">
        <f t="shared" ref="D302:D318" si="140">K302+B302</f>
        <v>5000</v>
      </c>
      <c r="E302" s="570">
        <f t="shared" ref="E302:E318" si="141">C302-D302</f>
        <v>-1916</v>
      </c>
      <c r="G302" s="645">
        <v>155.125</v>
      </c>
      <c r="H302" s="645">
        <v>155.125</v>
      </c>
      <c r="I302" s="645">
        <v>155.125</v>
      </c>
      <c r="J302" s="645">
        <v>155.125</v>
      </c>
      <c r="K302" s="645">
        <f>SUM(G302:J302)</f>
        <v>620.5</v>
      </c>
    </row>
    <row r="303" spans="1:11 16376:16376" s="643" customFormat="1" x14ac:dyDescent="0.6">
      <c r="A303" s="641" t="s">
        <v>766</v>
      </c>
      <c r="B303" s="644">
        <f>'Budget Vs. Actuals Detail'!F241</f>
        <v>0</v>
      </c>
      <c r="C303" s="647">
        <v>5545</v>
      </c>
      <c r="D303" s="651">
        <f t="shared" si="140"/>
        <v>5545</v>
      </c>
      <c r="E303" s="570">
        <f t="shared" si="141"/>
        <v>0</v>
      </c>
      <c r="G303" s="645">
        <v>1386.25</v>
      </c>
      <c r="H303" s="645">
        <v>1386.25</v>
      </c>
      <c r="I303" s="645">
        <v>1386.25</v>
      </c>
      <c r="J303" s="645">
        <v>1386.25</v>
      </c>
      <c r="K303" s="645">
        <f>SUM(G303:J303)</f>
        <v>5545</v>
      </c>
    </row>
    <row r="304" spans="1:11 16376:16376" s="643" customFormat="1" x14ac:dyDescent="0.6">
      <c r="A304" s="641" t="s">
        <v>767</v>
      </c>
      <c r="B304" s="644">
        <f>'Budget Vs. Actuals Detail'!F242</f>
        <v>27291.57</v>
      </c>
      <c r="C304" s="647">
        <v>134876</v>
      </c>
      <c r="D304" s="651">
        <f t="shared" si="140"/>
        <v>134876</v>
      </c>
      <c r="E304" s="570">
        <f t="shared" si="141"/>
        <v>0</v>
      </c>
      <c r="G304" s="645">
        <v>26896.107499999998</v>
      </c>
      <c r="H304" s="645">
        <v>26896.107499999998</v>
      </c>
      <c r="I304" s="645">
        <v>26896.107499999998</v>
      </c>
      <c r="J304" s="645">
        <v>26896.107499999998</v>
      </c>
      <c r="K304" s="645">
        <f>SUM(G304:J304)</f>
        <v>107584.43</v>
      </c>
    </row>
    <row r="305" spans="1:11" s="643" customFormat="1" x14ac:dyDescent="0.6">
      <c r="A305" s="641" t="s">
        <v>642</v>
      </c>
      <c r="B305" s="644">
        <f>'Budget Vs. Actuals Detail'!F243</f>
        <v>12645</v>
      </c>
      <c r="C305" s="647">
        <v>9523</v>
      </c>
      <c r="D305" s="651">
        <f t="shared" si="140"/>
        <v>15000</v>
      </c>
      <c r="E305" s="570">
        <f t="shared" si="141"/>
        <v>-5477</v>
      </c>
      <c r="G305" s="645">
        <v>588.75</v>
      </c>
      <c r="H305" s="645">
        <v>588.75</v>
      </c>
      <c r="I305" s="645">
        <v>588.75</v>
      </c>
      <c r="J305" s="645">
        <v>588.75</v>
      </c>
      <c r="K305" s="645">
        <f t="shared" ref="K305:K318" si="142">SUM(G305:J305)</f>
        <v>2355</v>
      </c>
    </row>
    <row r="306" spans="1:11" s="643" customFormat="1" x14ac:dyDescent="0.6">
      <c r="A306" s="641" t="s">
        <v>643</v>
      </c>
      <c r="B306" s="644">
        <f>'Budget Vs. Actuals Detail'!F244</f>
        <v>18219.150000000001</v>
      </c>
      <c r="C306" s="647">
        <v>23551</v>
      </c>
      <c r="D306" s="651">
        <f t="shared" si="140"/>
        <v>21000</v>
      </c>
      <c r="E306" s="570">
        <f t="shared" si="141"/>
        <v>2551</v>
      </c>
      <c r="G306" s="645">
        <v>695.21249999999964</v>
      </c>
      <c r="H306" s="645">
        <v>695.21249999999964</v>
      </c>
      <c r="I306" s="645">
        <v>695.21249999999964</v>
      </c>
      <c r="J306" s="645">
        <v>695.21249999999964</v>
      </c>
      <c r="K306" s="645">
        <f t="shared" si="142"/>
        <v>2780.8499999999985</v>
      </c>
    </row>
    <row r="307" spans="1:11" s="643" customFormat="1" x14ac:dyDescent="0.6">
      <c r="A307" s="641" t="s">
        <v>644</v>
      </c>
      <c r="B307" s="644">
        <f>'Budget Vs. Actuals Detail'!F245</f>
        <v>1705</v>
      </c>
      <c r="C307" s="647">
        <v>1988</v>
      </c>
      <c r="D307" s="651">
        <f t="shared" si="140"/>
        <v>1705</v>
      </c>
      <c r="E307" s="570">
        <f t="shared" si="141"/>
        <v>283</v>
      </c>
      <c r="G307" s="645">
        <v>0</v>
      </c>
      <c r="H307" s="645"/>
      <c r="I307" s="645"/>
      <c r="J307" s="645"/>
      <c r="K307" s="645">
        <f t="shared" si="142"/>
        <v>0</v>
      </c>
    </row>
    <row r="308" spans="1:11" s="643" customFormat="1" x14ac:dyDescent="0.6">
      <c r="A308" s="641" t="s">
        <v>645</v>
      </c>
      <c r="B308" s="644">
        <f>'Budget Vs. Actuals Detail'!F246</f>
        <v>9410</v>
      </c>
      <c r="C308" s="647">
        <v>26000</v>
      </c>
      <c r="D308" s="651">
        <f t="shared" si="140"/>
        <v>26000</v>
      </c>
      <c r="E308" s="570">
        <f t="shared" si="141"/>
        <v>0</v>
      </c>
      <c r="G308" s="645">
        <v>4147.5</v>
      </c>
      <c r="H308" s="645">
        <v>4147.5</v>
      </c>
      <c r="I308" s="645">
        <v>4147.5</v>
      </c>
      <c r="J308" s="645">
        <v>4147.5</v>
      </c>
      <c r="K308" s="645">
        <f t="shared" si="142"/>
        <v>16590</v>
      </c>
    </row>
    <row r="309" spans="1:11" s="643" customFormat="1" x14ac:dyDescent="0.6">
      <c r="A309" s="641" t="s">
        <v>646</v>
      </c>
      <c r="B309" s="644">
        <f>'Budget Vs. Actuals Detail'!F247</f>
        <v>9245</v>
      </c>
      <c r="C309" s="647">
        <v>17245</v>
      </c>
      <c r="D309" s="651">
        <f t="shared" si="140"/>
        <v>17245</v>
      </c>
      <c r="E309" s="570">
        <f t="shared" si="141"/>
        <v>0</v>
      </c>
      <c r="G309" s="645">
        <v>2000</v>
      </c>
      <c r="H309" s="645">
        <v>2000</v>
      </c>
      <c r="I309" s="645">
        <v>2000</v>
      </c>
      <c r="J309" s="645">
        <v>2000</v>
      </c>
      <c r="K309" s="645">
        <f t="shared" si="142"/>
        <v>8000</v>
      </c>
    </row>
    <row r="310" spans="1:11" s="643" customFormat="1" x14ac:dyDescent="0.6">
      <c r="A310" s="641" t="s">
        <v>647</v>
      </c>
      <c r="B310" s="644">
        <f>'Budget Vs. Actuals Detail'!F248</f>
        <v>0</v>
      </c>
      <c r="C310" s="647">
        <v>0</v>
      </c>
      <c r="D310" s="651">
        <f t="shared" si="140"/>
        <v>0</v>
      </c>
      <c r="E310" s="570">
        <f t="shared" si="141"/>
        <v>0</v>
      </c>
      <c r="G310" s="645">
        <v>0</v>
      </c>
      <c r="H310" s="645"/>
      <c r="I310" s="645"/>
      <c r="J310" s="645"/>
      <c r="K310" s="645">
        <f t="shared" si="142"/>
        <v>0</v>
      </c>
    </row>
    <row r="311" spans="1:11" s="643" customFormat="1" x14ac:dyDescent="0.6">
      <c r="A311" s="641" t="s">
        <v>648</v>
      </c>
      <c r="B311" s="644">
        <f>'Budget Vs. Actuals Detail'!F249</f>
        <v>0</v>
      </c>
      <c r="C311" s="647">
        <v>0</v>
      </c>
      <c r="D311" s="651">
        <f t="shared" si="140"/>
        <v>0</v>
      </c>
      <c r="E311" s="570">
        <f t="shared" si="141"/>
        <v>0</v>
      </c>
      <c r="G311" s="645">
        <v>0</v>
      </c>
      <c r="H311" s="645"/>
      <c r="I311" s="645"/>
      <c r="J311" s="645"/>
      <c r="K311" s="645">
        <f t="shared" si="142"/>
        <v>0</v>
      </c>
    </row>
    <row r="312" spans="1:11" s="643" customFormat="1" x14ac:dyDescent="0.6">
      <c r="A312" s="641" t="s">
        <v>649</v>
      </c>
      <c r="B312" s="644">
        <f>'Budget Vs. Actuals Detail'!F250</f>
        <v>-77.5</v>
      </c>
      <c r="C312" s="647">
        <v>20025</v>
      </c>
      <c r="D312" s="651">
        <f t="shared" si="140"/>
        <v>20025</v>
      </c>
      <c r="E312" s="570">
        <f t="shared" si="141"/>
        <v>0</v>
      </c>
      <c r="G312" s="645">
        <v>5025.625</v>
      </c>
      <c r="H312" s="645">
        <v>5025.625</v>
      </c>
      <c r="I312" s="645">
        <v>5025.625</v>
      </c>
      <c r="J312" s="645">
        <v>5025.625</v>
      </c>
      <c r="K312" s="645">
        <f t="shared" si="142"/>
        <v>20102.5</v>
      </c>
    </row>
    <row r="313" spans="1:11" s="643" customFormat="1" x14ac:dyDescent="0.6">
      <c r="A313" s="641" t="s">
        <v>650</v>
      </c>
      <c r="B313" s="644">
        <f>'Budget Vs. Actuals Detail'!F251</f>
        <v>13738</v>
      </c>
      <c r="C313" s="647">
        <v>13738</v>
      </c>
      <c r="D313" s="651">
        <f t="shared" si="140"/>
        <v>13738</v>
      </c>
      <c r="E313" s="570">
        <f t="shared" si="141"/>
        <v>0</v>
      </c>
      <c r="G313" s="645">
        <v>0</v>
      </c>
      <c r="H313" s="645"/>
      <c r="I313" s="645"/>
      <c r="J313" s="645"/>
      <c r="K313" s="645">
        <f t="shared" si="142"/>
        <v>0</v>
      </c>
    </row>
    <row r="314" spans="1:11" s="643" customFormat="1" x14ac:dyDescent="0.6">
      <c r="A314" s="641" t="s">
        <v>651</v>
      </c>
      <c r="B314" s="644">
        <f>'Budget Vs. Actuals Detail'!F252</f>
        <v>0</v>
      </c>
      <c r="C314" s="647">
        <v>0</v>
      </c>
      <c r="D314" s="651">
        <f t="shared" si="140"/>
        <v>0</v>
      </c>
      <c r="E314" s="570">
        <f t="shared" si="141"/>
        <v>0</v>
      </c>
      <c r="G314" s="645">
        <v>0</v>
      </c>
      <c r="H314" s="645"/>
      <c r="I314" s="645"/>
      <c r="J314" s="645"/>
      <c r="K314" s="645">
        <f t="shared" si="142"/>
        <v>0</v>
      </c>
    </row>
    <row r="315" spans="1:11" s="643" customFormat="1" x14ac:dyDescent="0.6">
      <c r="A315" s="641" t="s">
        <v>652</v>
      </c>
      <c r="B315" s="644">
        <f>'Budget Vs. Actuals Detail'!F253</f>
        <v>0</v>
      </c>
      <c r="C315" s="647">
        <v>0</v>
      </c>
      <c r="D315" s="651">
        <f t="shared" si="140"/>
        <v>0</v>
      </c>
      <c r="E315" s="570">
        <f t="shared" si="141"/>
        <v>0</v>
      </c>
      <c r="G315" s="645">
        <v>0</v>
      </c>
      <c r="H315" s="645"/>
      <c r="I315" s="645"/>
      <c r="J315" s="645"/>
      <c r="K315" s="645">
        <f t="shared" si="142"/>
        <v>0</v>
      </c>
    </row>
    <row r="316" spans="1:11" s="643" customFormat="1" x14ac:dyDescent="0.6">
      <c r="A316" s="641" t="s">
        <v>653</v>
      </c>
      <c r="B316" s="644">
        <f>'Budget Vs. Actuals Detail'!F254</f>
        <v>15615</v>
      </c>
      <c r="C316" s="647">
        <v>4000</v>
      </c>
      <c r="D316" s="651">
        <f t="shared" si="140"/>
        <v>15615</v>
      </c>
      <c r="E316" s="570">
        <f t="shared" si="141"/>
        <v>-11615</v>
      </c>
      <c r="G316" s="645">
        <v>0</v>
      </c>
      <c r="H316" s="645"/>
      <c r="I316" s="645"/>
      <c r="J316" s="645"/>
      <c r="K316" s="645">
        <f t="shared" si="142"/>
        <v>0</v>
      </c>
    </row>
    <row r="317" spans="1:11" s="643" customFormat="1" x14ac:dyDescent="0.6">
      <c r="A317" s="641" t="s">
        <v>654</v>
      </c>
      <c r="B317" s="644">
        <f>'Budget Vs. Actuals Detail'!F255</f>
        <v>99375</v>
      </c>
      <c r="C317" s="647">
        <v>108000</v>
      </c>
      <c r="D317" s="651">
        <f t="shared" si="140"/>
        <v>108000</v>
      </c>
      <c r="E317" s="570">
        <f t="shared" si="141"/>
        <v>0</v>
      </c>
      <c r="G317" s="645">
        <v>2156.25</v>
      </c>
      <c r="H317" s="645">
        <v>2156.25</v>
      </c>
      <c r="I317" s="645">
        <v>2156.25</v>
      </c>
      <c r="J317" s="645">
        <v>2156.25</v>
      </c>
      <c r="K317" s="645">
        <f t="shared" si="142"/>
        <v>8625</v>
      </c>
    </row>
    <row r="318" spans="1:11" s="643" customFormat="1" x14ac:dyDescent="0.6">
      <c r="A318" s="641" t="s">
        <v>655</v>
      </c>
      <c r="B318" s="644">
        <f>'Budget Vs. Actuals Detail'!F256</f>
        <v>0</v>
      </c>
      <c r="C318" s="647">
        <v>25000</v>
      </c>
      <c r="D318" s="651">
        <f t="shared" si="140"/>
        <v>25000</v>
      </c>
      <c r="E318" s="570">
        <f t="shared" si="141"/>
        <v>0</v>
      </c>
      <c r="G318" s="645">
        <v>6250</v>
      </c>
      <c r="H318" s="645">
        <v>6250</v>
      </c>
      <c r="I318" s="645">
        <v>6250</v>
      </c>
      <c r="J318" s="645">
        <v>6250</v>
      </c>
      <c r="K318" s="645">
        <f t="shared" si="142"/>
        <v>25000</v>
      </c>
    </row>
    <row r="319" spans="1:11" s="643" customFormat="1" x14ac:dyDescent="0.6">
      <c r="A319" s="650" t="s">
        <v>657</v>
      </c>
      <c r="B319" s="693">
        <f>SUM(B301:B318)</f>
        <v>211545.72</v>
      </c>
      <c r="C319" s="693">
        <f t="shared" ref="C319:D319" si="143">SUM(C301:C318)</f>
        <v>392575</v>
      </c>
      <c r="D319" s="693">
        <f t="shared" si="143"/>
        <v>408749</v>
      </c>
      <c r="E319" s="649">
        <f>SUM(E301:E318)</f>
        <v>-16174</v>
      </c>
      <c r="G319" s="649">
        <f t="shared" ref="G319:K319" si="144">SUM(G301:G318)</f>
        <v>49300.82</v>
      </c>
      <c r="H319" s="649">
        <f t="shared" si="144"/>
        <v>49300.82</v>
      </c>
      <c r="I319" s="649">
        <f t="shared" si="144"/>
        <v>49300.82</v>
      </c>
      <c r="J319" s="649">
        <f t="shared" si="144"/>
        <v>49300.82</v>
      </c>
      <c r="K319" s="649">
        <f t="shared" si="144"/>
        <v>197203.28</v>
      </c>
    </row>
    <row r="320" spans="1:11" x14ac:dyDescent="0.6">
      <c r="E320" s="587"/>
    </row>
  </sheetData>
  <mergeCells count="14">
    <mergeCell ref="G18:K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</mergeCells>
  <conditionalFormatting sqref="G11:J16 G9:H10 G4:J8">
    <cfRule type="cellIs" dxfId="430" priority="18" operator="lessThan">
      <formula>0</formula>
    </cfRule>
  </conditionalFormatting>
  <conditionalFormatting sqref="A4">
    <cfRule type="cellIs" dxfId="429" priority="17" operator="lessThan">
      <formula>0</formula>
    </cfRule>
  </conditionalFormatting>
  <conditionalFormatting sqref="I9:J10">
    <cfRule type="cellIs" dxfId="428" priority="10" operator="lessThan">
      <formula>0</formula>
    </cfRule>
  </conditionalFormatting>
  <conditionalFormatting sqref="B5:B16">
    <cfRule type="cellIs" dxfId="427" priority="2" operator="lessThan">
      <formula>0</formula>
    </cfRule>
  </conditionalFormatting>
  <conditionalFormatting sqref="B4">
    <cfRule type="cellIs" dxfId="426" priority="1" operator="lessThan">
      <formula>0</formula>
    </cfRule>
  </conditionalFormatting>
  <pageMargins left="0.7" right="0.7" top="0.75" bottom="0.75" header="0.3" footer="0.3"/>
  <pageSetup scale="68" fitToWidth="6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46"/>
  <sheetViews>
    <sheetView zoomScale="80" zoomScaleNormal="80" workbookViewId="0">
      <selection activeCell="G18" sqref="G18"/>
    </sheetView>
  </sheetViews>
  <sheetFormatPr defaultColWidth="8.6796875" defaultRowHeight="13" x14ac:dyDescent="0.6"/>
  <cols>
    <col min="1" max="1" width="2.5" style="620" customWidth="1"/>
    <col min="2" max="2" width="17.5" style="620" bestFit="1" customWidth="1"/>
    <col min="3" max="3" width="22.5" style="620" bestFit="1" customWidth="1"/>
    <col min="4" max="4" width="22.5" style="620" customWidth="1"/>
    <col min="5" max="5" width="8.6796875" style="620"/>
    <col min="6" max="6" width="10.5" style="620" customWidth="1"/>
    <col min="7" max="7" width="13.81640625" style="620" customWidth="1"/>
    <col min="8" max="8" width="10.5" style="620" bestFit="1" customWidth="1"/>
    <col min="9" max="9" width="0.5" style="620" customWidth="1"/>
    <col min="10" max="10" width="15.31640625" style="620" customWidth="1"/>
    <col min="11" max="17" width="9.1796875" style="620" bestFit="1" customWidth="1"/>
    <col min="18" max="18" width="0.5" style="620" customWidth="1"/>
    <col min="19" max="19" width="10" style="620" bestFit="1" customWidth="1"/>
    <col min="20" max="16384" width="8.6796875" style="620"/>
  </cols>
  <sheetData>
    <row r="1" spans="1:20" ht="19" x14ac:dyDescent="0.8">
      <c r="A1" s="619" t="s">
        <v>783</v>
      </c>
    </row>
    <row r="2" spans="1:20" x14ac:dyDescent="0.6">
      <c r="A2" s="620" t="s">
        <v>784</v>
      </c>
    </row>
    <row r="7" spans="1:20" ht="26" x14ac:dyDescent="0.6">
      <c r="A7" s="621"/>
      <c r="B7" s="621" t="s">
        <v>791</v>
      </c>
      <c r="C7" s="621" t="s">
        <v>792</v>
      </c>
      <c r="D7" s="621" t="s">
        <v>793</v>
      </c>
      <c r="E7" s="621" t="s">
        <v>794</v>
      </c>
      <c r="F7" s="622" t="s">
        <v>795</v>
      </c>
      <c r="G7" s="622" t="s">
        <v>796</v>
      </c>
      <c r="H7" s="621" t="s">
        <v>797</v>
      </c>
      <c r="J7" s="623" t="s">
        <v>798</v>
      </c>
      <c r="K7" s="621" t="s">
        <v>799</v>
      </c>
      <c r="L7" s="621" t="s">
        <v>800</v>
      </c>
      <c r="M7" s="621" t="s">
        <v>801</v>
      </c>
      <c r="N7" s="621" t="s">
        <v>802</v>
      </c>
      <c r="O7" s="621" t="s">
        <v>789</v>
      </c>
      <c r="P7" s="621" t="s">
        <v>803</v>
      </c>
      <c r="Q7" s="623" t="s">
        <v>804</v>
      </c>
      <c r="R7" s="623"/>
      <c r="S7" s="623" t="s">
        <v>805</v>
      </c>
    </row>
    <row r="8" spans="1:20" x14ac:dyDescent="0.6">
      <c r="A8" s="620">
        <v>1</v>
      </c>
      <c r="B8" s="620" t="s">
        <v>806</v>
      </c>
      <c r="C8" s="620" t="s">
        <v>807</v>
      </c>
      <c r="D8" s="557" t="s">
        <v>808</v>
      </c>
      <c r="E8" s="624">
        <v>43327</v>
      </c>
      <c r="F8" s="624"/>
      <c r="G8" s="620">
        <v>12</v>
      </c>
      <c r="H8" s="625">
        <v>133900</v>
      </c>
      <c r="J8" s="626">
        <v>66950.039999999994</v>
      </c>
      <c r="K8" s="626">
        <f>5579.17*2</f>
        <v>11158.34</v>
      </c>
      <c r="L8" s="626">
        <f t="shared" ref="L8:P10" si="0">K8</f>
        <v>11158.34</v>
      </c>
      <c r="M8" s="626">
        <f t="shared" si="0"/>
        <v>11158.34</v>
      </c>
      <c r="N8" s="626">
        <f t="shared" si="0"/>
        <v>11158.34</v>
      </c>
      <c r="O8" s="626">
        <f t="shared" si="0"/>
        <v>11158.34</v>
      </c>
      <c r="P8" s="626">
        <f t="shared" si="0"/>
        <v>11158.34</v>
      </c>
      <c r="Q8" s="626">
        <v>0</v>
      </c>
      <c r="R8" s="626"/>
      <c r="S8" s="626">
        <f t="shared" ref="S8:S28" si="1">SUM(J8:Q8)</f>
        <v>133900.07999999999</v>
      </c>
      <c r="T8" s="626"/>
    </row>
    <row r="9" spans="1:20" x14ac:dyDescent="0.6">
      <c r="A9" s="620">
        <f>A8+1</f>
        <v>2</v>
      </c>
      <c r="B9" s="620" t="s">
        <v>809</v>
      </c>
      <c r="C9" s="620" t="s">
        <v>810</v>
      </c>
      <c r="D9" s="557" t="s">
        <v>811</v>
      </c>
      <c r="E9" s="624">
        <v>43661</v>
      </c>
      <c r="F9" s="624"/>
      <c r="G9" s="620">
        <v>11</v>
      </c>
      <c r="H9" s="625">
        <v>80000</v>
      </c>
      <c r="J9" s="626">
        <v>36974.31</v>
      </c>
      <c r="K9" s="626">
        <f>3333.33*2</f>
        <v>6666.66</v>
      </c>
      <c r="L9" s="626">
        <f t="shared" si="0"/>
        <v>6666.66</v>
      </c>
      <c r="M9" s="626">
        <f t="shared" si="0"/>
        <v>6666.66</v>
      </c>
      <c r="N9" s="626">
        <f t="shared" si="0"/>
        <v>6666.66</v>
      </c>
      <c r="O9" s="626">
        <f t="shared" si="0"/>
        <v>6666.66</v>
      </c>
      <c r="P9" s="626">
        <f t="shared" si="0"/>
        <v>6666.66</v>
      </c>
      <c r="Q9" s="626"/>
      <c r="R9" s="626"/>
      <c r="S9" s="626">
        <f t="shared" si="1"/>
        <v>76974.270000000019</v>
      </c>
      <c r="T9" s="626"/>
    </row>
    <row r="10" spans="1:20" x14ac:dyDescent="0.6">
      <c r="A10" s="620">
        <f t="shared" ref="A10:A28" si="2">A9+1</f>
        <v>3</v>
      </c>
      <c r="B10" s="620" t="s">
        <v>812</v>
      </c>
      <c r="C10" s="620" t="s">
        <v>813</v>
      </c>
      <c r="D10" s="557" t="s">
        <v>814</v>
      </c>
      <c r="E10" s="624">
        <v>43739</v>
      </c>
      <c r="F10" s="624"/>
      <c r="G10" s="620">
        <v>12</v>
      </c>
      <c r="H10" s="625">
        <v>85000</v>
      </c>
      <c r="J10" s="626">
        <v>21250.02</v>
      </c>
      <c r="K10" s="626">
        <f>3541.67*2</f>
        <v>7083.34</v>
      </c>
      <c r="L10" s="626">
        <f t="shared" si="0"/>
        <v>7083.34</v>
      </c>
      <c r="M10" s="626">
        <f t="shared" si="0"/>
        <v>7083.34</v>
      </c>
      <c r="N10" s="626">
        <f t="shared" si="0"/>
        <v>7083.34</v>
      </c>
      <c r="O10" s="626">
        <f t="shared" si="0"/>
        <v>7083.34</v>
      </c>
      <c r="P10" s="626">
        <f t="shared" si="0"/>
        <v>7083.34</v>
      </c>
      <c r="Q10" s="626">
        <v>0</v>
      </c>
      <c r="R10" s="626"/>
      <c r="S10" s="626">
        <f t="shared" si="1"/>
        <v>63750.059999999983</v>
      </c>
      <c r="T10" s="626"/>
    </row>
    <row r="11" spans="1:20" x14ac:dyDescent="0.6">
      <c r="A11" s="620">
        <f t="shared" si="2"/>
        <v>4</v>
      </c>
      <c r="B11" s="620" t="s">
        <v>815</v>
      </c>
      <c r="C11" s="620" t="s">
        <v>813</v>
      </c>
      <c r="D11" s="557" t="s">
        <v>814</v>
      </c>
      <c r="E11" s="624"/>
      <c r="F11" s="624"/>
      <c r="H11" s="625"/>
      <c r="J11" s="626">
        <v>15692.31</v>
      </c>
      <c r="K11" s="626">
        <v>0</v>
      </c>
      <c r="L11" s="626">
        <v>0</v>
      </c>
      <c r="M11" s="626">
        <v>0</v>
      </c>
      <c r="N11" s="626">
        <v>0</v>
      </c>
      <c r="O11" s="626">
        <v>0</v>
      </c>
      <c r="P11" s="626">
        <v>0</v>
      </c>
      <c r="Q11" s="626">
        <v>0</v>
      </c>
      <c r="R11" s="626"/>
      <c r="S11" s="626">
        <f t="shared" si="1"/>
        <v>15692.31</v>
      </c>
      <c r="T11" s="626"/>
    </row>
    <row r="12" spans="1:20" x14ac:dyDescent="0.6">
      <c r="A12" s="620">
        <f t="shared" si="2"/>
        <v>5</v>
      </c>
      <c r="B12" s="620" t="s">
        <v>816</v>
      </c>
      <c r="C12" s="627" t="s">
        <v>817</v>
      </c>
      <c r="D12" s="557" t="s">
        <v>818</v>
      </c>
      <c r="E12" s="624">
        <v>43556</v>
      </c>
      <c r="F12" s="624"/>
      <c r="G12" s="620">
        <v>12</v>
      </c>
      <c r="H12" s="625">
        <v>52650</v>
      </c>
      <c r="J12" s="626">
        <v>26325</v>
      </c>
      <c r="K12" s="626">
        <f>2193.75*2</f>
        <v>4387.5</v>
      </c>
      <c r="L12" s="626">
        <f t="shared" ref="L12:P13" si="3">K12</f>
        <v>4387.5</v>
      </c>
      <c r="M12" s="626">
        <f t="shared" si="3"/>
        <v>4387.5</v>
      </c>
      <c r="N12" s="626">
        <f t="shared" si="3"/>
        <v>4387.5</v>
      </c>
      <c r="O12" s="626">
        <f t="shared" si="3"/>
        <v>4387.5</v>
      </c>
      <c r="P12" s="626">
        <f t="shared" si="3"/>
        <v>4387.5</v>
      </c>
      <c r="Q12" s="626"/>
      <c r="R12" s="626"/>
      <c r="S12" s="626">
        <f t="shared" si="1"/>
        <v>52650</v>
      </c>
      <c r="T12" s="626"/>
    </row>
    <row r="13" spans="1:20" x14ac:dyDescent="0.6">
      <c r="A13" s="620">
        <f t="shared" si="2"/>
        <v>6</v>
      </c>
      <c r="B13" s="620" t="s">
        <v>819</v>
      </c>
      <c r="C13" s="620" t="s">
        <v>820</v>
      </c>
      <c r="D13" s="557" t="s">
        <v>821</v>
      </c>
      <c r="E13" s="624">
        <v>43724</v>
      </c>
      <c r="F13" s="624"/>
      <c r="G13" s="620">
        <v>12</v>
      </c>
      <c r="H13" s="625">
        <v>16500</v>
      </c>
      <c r="J13" s="625">
        <v>1890</v>
      </c>
      <c r="K13" s="625">
        <f>(16500-1890)/6</f>
        <v>2435</v>
      </c>
      <c r="L13" s="625">
        <f t="shared" si="3"/>
        <v>2435</v>
      </c>
      <c r="M13" s="625">
        <f t="shared" si="3"/>
        <v>2435</v>
      </c>
      <c r="N13" s="625">
        <f t="shared" si="3"/>
        <v>2435</v>
      </c>
      <c r="O13" s="625">
        <f t="shared" si="3"/>
        <v>2435</v>
      </c>
      <c r="P13" s="625">
        <f t="shared" si="3"/>
        <v>2435</v>
      </c>
      <c r="Q13" s="625"/>
      <c r="R13" s="625"/>
      <c r="S13" s="625">
        <f t="shared" si="1"/>
        <v>16500</v>
      </c>
      <c r="T13" s="625"/>
    </row>
    <row r="14" spans="1:20" x14ac:dyDescent="0.6">
      <c r="A14" s="620">
        <f t="shared" si="2"/>
        <v>7</v>
      </c>
      <c r="B14" s="620" t="s">
        <v>822</v>
      </c>
      <c r="D14" s="557" t="s">
        <v>823</v>
      </c>
      <c r="E14" s="624"/>
      <c r="F14" s="624"/>
      <c r="H14" s="625"/>
      <c r="J14" s="625">
        <v>3333.33</v>
      </c>
      <c r="K14" s="625">
        <v>0</v>
      </c>
      <c r="L14" s="625">
        <v>0</v>
      </c>
      <c r="M14" s="625">
        <v>0</v>
      </c>
      <c r="N14" s="625">
        <v>0</v>
      </c>
      <c r="O14" s="625">
        <v>0</v>
      </c>
      <c r="P14" s="625">
        <v>0</v>
      </c>
      <c r="Q14" s="625">
        <v>0</v>
      </c>
      <c r="R14" s="625"/>
      <c r="S14" s="625">
        <f t="shared" si="1"/>
        <v>3333.33</v>
      </c>
      <c r="T14" s="625"/>
    </row>
    <row r="15" spans="1:20" x14ac:dyDescent="0.6">
      <c r="A15" s="620">
        <f t="shared" si="2"/>
        <v>8</v>
      </c>
      <c r="B15" s="620" t="s">
        <v>824</v>
      </c>
      <c r="C15" s="627" t="s">
        <v>825</v>
      </c>
      <c r="D15" s="557" t="s">
        <v>823</v>
      </c>
      <c r="E15" s="624">
        <v>43675</v>
      </c>
      <c r="F15" s="624"/>
      <c r="G15" s="620">
        <v>11</v>
      </c>
      <c r="H15" s="625">
        <v>85000</v>
      </c>
      <c r="J15" s="626">
        <v>35416.699999999997</v>
      </c>
      <c r="K15" s="626">
        <f>3541.67*2</f>
        <v>7083.34</v>
      </c>
      <c r="L15" s="626">
        <f t="shared" ref="L15:Q22" si="4">K15</f>
        <v>7083.34</v>
      </c>
      <c r="M15" s="626">
        <f t="shared" si="4"/>
        <v>7083.34</v>
      </c>
      <c r="N15" s="626">
        <f t="shared" si="4"/>
        <v>7083.34</v>
      </c>
      <c r="O15" s="626">
        <f t="shared" si="4"/>
        <v>7083.34</v>
      </c>
      <c r="P15" s="626">
        <f t="shared" si="4"/>
        <v>7083.34</v>
      </c>
      <c r="Q15" s="626">
        <f t="shared" si="4"/>
        <v>7083.34</v>
      </c>
      <c r="R15" s="626"/>
      <c r="S15" s="626">
        <f t="shared" si="1"/>
        <v>85000.079999999973</v>
      </c>
      <c r="T15" s="626"/>
    </row>
    <row r="16" spans="1:20" x14ac:dyDescent="0.6">
      <c r="A16" s="620">
        <f t="shared" si="2"/>
        <v>9</v>
      </c>
      <c r="B16" s="620" t="s">
        <v>826</v>
      </c>
      <c r="C16" s="620" t="s">
        <v>825</v>
      </c>
      <c r="D16" s="557" t="s">
        <v>823</v>
      </c>
      <c r="E16" s="624">
        <v>43675</v>
      </c>
      <c r="F16" s="624"/>
      <c r="G16" s="620">
        <v>11</v>
      </c>
      <c r="H16" s="625">
        <v>74000</v>
      </c>
      <c r="J16" s="626">
        <v>30833.3</v>
      </c>
      <c r="K16" s="626">
        <f>3083.33*2</f>
        <v>6166.66</v>
      </c>
      <c r="L16" s="626">
        <f t="shared" si="4"/>
        <v>6166.66</v>
      </c>
      <c r="M16" s="626">
        <f t="shared" si="4"/>
        <v>6166.66</v>
      </c>
      <c r="N16" s="626">
        <f t="shared" si="4"/>
        <v>6166.66</v>
      </c>
      <c r="O16" s="626">
        <f t="shared" si="4"/>
        <v>6166.66</v>
      </c>
      <c r="P16" s="626">
        <f t="shared" si="4"/>
        <v>6166.66</v>
      </c>
      <c r="Q16" s="626">
        <f t="shared" si="4"/>
        <v>6166.66</v>
      </c>
      <c r="R16" s="626"/>
      <c r="S16" s="626">
        <f t="shared" si="1"/>
        <v>73999.920000000013</v>
      </c>
      <c r="T16" s="626"/>
    </row>
    <row r="17" spans="1:20" x14ac:dyDescent="0.6">
      <c r="A17" s="620">
        <f t="shared" si="2"/>
        <v>10</v>
      </c>
      <c r="B17" s="620" t="s">
        <v>827</v>
      </c>
      <c r="C17" s="620" t="s">
        <v>828</v>
      </c>
      <c r="D17" s="557" t="s">
        <v>823</v>
      </c>
      <c r="E17" s="624">
        <v>43675</v>
      </c>
      <c r="F17" s="624"/>
      <c r="G17" s="620">
        <v>11</v>
      </c>
      <c r="H17" s="625">
        <v>80000</v>
      </c>
      <c r="J17" s="626">
        <v>33333.300000000003</v>
      </c>
      <c r="K17" s="626">
        <f>3333.33*2</f>
        <v>6666.66</v>
      </c>
      <c r="L17" s="626">
        <f t="shared" si="4"/>
        <v>6666.66</v>
      </c>
      <c r="M17" s="626">
        <f t="shared" si="4"/>
        <v>6666.66</v>
      </c>
      <c r="N17" s="626">
        <f t="shared" si="4"/>
        <v>6666.66</v>
      </c>
      <c r="O17" s="626">
        <f t="shared" si="4"/>
        <v>6666.66</v>
      </c>
      <c r="P17" s="626">
        <f t="shared" si="4"/>
        <v>6666.66</v>
      </c>
      <c r="Q17" s="626">
        <f t="shared" si="4"/>
        <v>6666.66</v>
      </c>
      <c r="R17" s="626"/>
      <c r="S17" s="626">
        <f t="shared" si="1"/>
        <v>79999.920000000027</v>
      </c>
      <c r="T17" s="626"/>
    </row>
    <row r="18" spans="1:20" x14ac:dyDescent="0.6">
      <c r="A18" s="620">
        <f t="shared" si="2"/>
        <v>11</v>
      </c>
      <c r="B18" s="620" t="s">
        <v>829</v>
      </c>
      <c r="C18" s="620" t="s">
        <v>828</v>
      </c>
      <c r="D18" s="557" t="s">
        <v>823</v>
      </c>
      <c r="E18" s="624">
        <v>43773</v>
      </c>
      <c r="F18" s="624"/>
      <c r="G18" s="620">
        <v>11</v>
      </c>
      <c r="H18" s="625">
        <v>72000</v>
      </c>
      <c r="J18" s="626">
        <v>12000</v>
      </c>
      <c r="K18" s="626">
        <f>3000*2</f>
        <v>6000</v>
      </c>
      <c r="L18" s="626">
        <f t="shared" si="4"/>
        <v>6000</v>
      </c>
      <c r="M18" s="626">
        <f t="shared" si="4"/>
        <v>6000</v>
      </c>
      <c r="N18" s="626">
        <f t="shared" si="4"/>
        <v>6000</v>
      </c>
      <c r="O18" s="626">
        <f t="shared" si="4"/>
        <v>6000</v>
      </c>
      <c r="P18" s="626">
        <f t="shared" si="4"/>
        <v>6000</v>
      </c>
      <c r="Q18" s="626">
        <f t="shared" si="4"/>
        <v>6000</v>
      </c>
      <c r="R18" s="626"/>
      <c r="S18" s="626">
        <f t="shared" si="1"/>
        <v>54000</v>
      </c>
      <c r="T18" s="626"/>
    </row>
    <row r="19" spans="1:20" x14ac:dyDescent="0.6">
      <c r="A19" s="620">
        <f t="shared" si="2"/>
        <v>12</v>
      </c>
      <c r="B19" s="620" t="s">
        <v>830</v>
      </c>
      <c r="C19" s="620" t="s">
        <v>831</v>
      </c>
      <c r="D19" s="557" t="s">
        <v>832</v>
      </c>
      <c r="E19" s="624">
        <v>43675</v>
      </c>
      <c r="F19" s="624"/>
      <c r="G19" s="620">
        <v>11</v>
      </c>
      <c r="H19" s="625">
        <v>61000</v>
      </c>
      <c r="J19" s="626">
        <v>25416.7</v>
      </c>
      <c r="K19" s="626">
        <f>2541.67*2</f>
        <v>5083.34</v>
      </c>
      <c r="L19" s="626">
        <f t="shared" si="4"/>
        <v>5083.34</v>
      </c>
      <c r="M19" s="626">
        <f t="shared" si="4"/>
        <v>5083.34</v>
      </c>
      <c r="N19" s="626">
        <f t="shared" si="4"/>
        <v>5083.34</v>
      </c>
      <c r="O19" s="626">
        <f t="shared" si="4"/>
        <v>5083.34</v>
      </c>
      <c r="P19" s="626">
        <f t="shared" si="4"/>
        <v>5083.34</v>
      </c>
      <c r="Q19" s="626">
        <f t="shared" si="4"/>
        <v>5083.34</v>
      </c>
      <c r="R19" s="626"/>
      <c r="S19" s="626">
        <f t="shared" si="1"/>
        <v>61000.079999999987</v>
      </c>
      <c r="T19" s="626"/>
    </row>
    <row r="20" spans="1:20" x14ac:dyDescent="0.6">
      <c r="A20" s="620">
        <f t="shared" si="2"/>
        <v>13</v>
      </c>
      <c r="B20" s="620" t="s">
        <v>833</v>
      </c>
      <c r="C20" s="620" t="s">
        <v>831</v>
      </c>
      <c r="D20" s="557" t="s">
        <v>832</v>
      </c>
      <c r="E20" s="624">
        <v>43675</v>
      </c>
      <c r="F20" s="624"/>
      <c r="G20" s="620">
        <v>11</v>
      </c>
      <c r="H20" s="625">
        <v>61000</v>
      </c>
      <c r="J20" s="626">
        <v>25416.7</v>
      </c>
      <c r="K20" s="626">
        <f>2541.67*2</f>
        <v>5083.34</v>
      </c>
      <c r="L20" s="626">
        <f t="shared" si="4"/>
        <v>5083.34</v>
      </c>
      <c r="M20" s="626">
        <f t="shared" si="4"/>
        <v>5083.34</v>
      </c>
      <c r="N20" s="626">
        <f t="shared" si="4"/>
        <v>5083.34</v>
      </c>
      <c r="O20" s="626">
        <f t="shared" si="4"/>
        <v>5083.34</v>
      </c>
      <c r="P20" s="626">
        <f t="shared" si="4"/>
        <v>5083.34</v>
      </c>
      <c r="Q20" s="626">
        <f t="shared" si="4"/>
        <v>5083.34</v>
      </c>
      <c r="R20" s="626"/>
      <c r="S20" s="626">
        <f t="shared" si="1"/>
        <v>61000.079999999987</v>
      </c>
      <c r="T20" s="626"/>
    </row>
    <row r="21" spans="1:20" x14ac:dyDescent="0.6">
      <c r="A21" s="620">
        <f t="shared" si="2"/>
        <v>14</v>
      </c>
      <c r="B21" s="620" t="s">
        <v>834</v>
      </c>
      <c r="C21" s="620" t="s">
        <v>835</v>
      </c>
      <c r="D21" s="557" t="s">
        <v>832</v>
      </c>
      <c r="E21" s="624">
        <v>43676</v>
      </c>
      <c r="F21" s="624"/>
      <c r="G21" s="620">
        <v>11</v>
      </c>
      <c r="H21" s="628">
        <v>67673.08</v>
      </c>
      <c r="J21" s="626">
        <v>28197.1</v>
      </c>
      <c r="K21" s="626">
        <f>2819.71*2</f>
        <v>5639.42</v>
      </c>
      <c r="L21" s="626">
        <f t="shared" si="4"/>
        <v>5639.42</v>
      </c>
      <c r="M21" s="626">
        <f t="shared" si="4"/>
        <v>5639.42</v>
      </c>
      <c r="N21" s="626">
        <f t="shared" si="4"/>
        <v>5639.42</v>
      </c>
      <c r="O21" s="626">
        <f t="shared" si="4"/>
        <v>5639.42</v>
      </c>
      <c r="P21" s="626">
        <f t="shared" si="4"/>
        <v>5639.42</v>
      </c>
      <c r="Q21" s="626">
        <f t="shared" si="4"/>
        <v>5639.42</v>
      </c>
      <c r="R21" s="626"/>
      <c r="S21" s="626">
        <f t="shared" si="1"/>
        <v>67673.039999999994</v>
      </c>
      <c r="T21" s="626"/>
    </row>
    <row r="22" spans="1:20" x14ac:dyDescent="0.6">
      <c r="A22" s="620">
        <f t="shared" si="2"/>
        <v>15</v>
      </c>
      <c r="B22" s="620" t="s">
        <v>836</v>
      </c>
      <c r="C22" s="627" t="s">
        <v>837</v>
      </c>
      <c r="D22" s="559" t="s">
        <v>838</v>
      </c>
      <c r="E22" s="624">
        <v>43689</v>
      </c>
      <c r="F22" s="624"/>
      <c r="G22" s="620">
        <v>11</v>
      </c>
      <c r="H22" s="629">
        <v>26052.720000000001</v>
      </c>
      <c r="J22" s="626">
        <v>10855.3</v>
      </c>
      <c r="K22" s="626">
        <f>1085.53*2</f>
        <v>2171.06</v>
      </c>
      <c r="L22" s="626">
        <f t="shared" si="4"/>
        <v>2171.06</v>
      </c>
      <c r="M22" s="626">
        <f t="shared" si="4"/>
        <v>2171.06</v>
      </c>
      <c r="N22" s="626">
        <f t="shared" si="4"/>
        <v>2171.06</v>
      </c>
      <c r="O22" s="626">
        <f t="shared" si="4"/>
        <v>2171.06</v>
      </c>
      <c r="P22" s="626">
        <f t="shared" si="4"/>
        <v>2171.06</v>
      </c>
      <c r="Q22" s="626">
        <f t="shared" si="4"/>
        <v>2171.06</v>
      </c>
      <c r="R22" s="626"/>
      <c r="S22" s="626">
        <f t="shared" si="1"/>
        <v>26052.720000000005</v>
      </c>
      <c r="T22" s="626"/>
    </row>
    <row r="23" spans="1:20" x14ac:dyDescent="0.6">
      <c r="A23" s="620">
        <f t="shared" si="2"/>
        <v>16</v>
      </c>
      <c r="B23" s="620" t="s">
        <v>839</v>
      </c>
      <c r="C23" s="627" t="s">
        <v>837</v>
      </c>
      <c r="D23" s="559" t="s">
        <v>838</v>
      </c>
      <c r="E23" s="624">
        <v>43837</v>
      </c>
      <c r="F23" s="624"/>
      <c r="G23" s="620">
        <v>11</v>
      </c>
      <c r="H23" s="625">
        <v>27000</v>
      </c>
      <c r="J23" s="626"/>
      <c r="K23" s="626">
        <v>1012.5</v>
      </c>
      <c r="L23" s="626"/>
      <c r="M23" s="626"/>
      <c r="N23" s="626"/>
      <c r="O23" s="626"/>
      <c r="P23" s="626"/>
      <c r="Q23" s="626"/>
      <c r="R23" s="626"/>
      <c r="S23" s="626">
        <f t="shared" si="1"/>
        <v>1012.5</v>
      </c>
      <c r="T23" s="626"/>
    </row>
    <row r="24" spans="1:20" x14ac:dyDescent="0.6">
      <c r="A24" s="620">
        <f t="shared" si="2"/>
        <v>17</v>
      </c>
      <c r="B24" s="620" t="s">
        <v>840</v>
      </c>
      <c r="C24" s="620" t="s">
        <v>841</v>
      </c>
      <c r="D24" s="559" t="s">
        <v>838</v>
      </c>
      <c r="E24" s="624">
        <v>43836</v>
      </c>
      <c r="F24" s="624"/>
      <c r="G24" s="620">
        <v>11</v>
      </c>
      <c r="H24" s="625">
        <v>31000</v>
      </c>
      <c r="J24" s="625">
        <v>1419.73</v>
      </c>
      <c r="K24" s="625">
        <f>1419.73*2</f>
        <v>2839.46</v>
      </c>
      <c r="L24" s="625">
        <f t="shared" ref="L24:Q24" si="5">K24</f>
        <v>2839.46</v>
      </c>
      <c r="M24" s="625">
        <f t="shared" si="5"/>
        <v>2839.46</v>
      </c>
      <c r="N24" s="625">
        <f t="shared" si="5"/>
        <v>2839.46</v>
      </c>
      <c r="O24" s="625">
        <f t="shared" si="5"/>
        <v>2839.46</v>
      </c>
      <c r="P24" s="625">
        <f t="shared" si="5"/>
        <v>2839.46</v>
      </c>
      <c r="Q24" s="625">
        <f t="shared" si="5"/>
        <v>2839.46</v>
      </c>
      <c r="R24" s="625"/>
      <c r="S24" s="626">
        <f t="shared" si="1"/>
        <v>21295.949999999997</v>
      </c>
      <c r="T24" s="625"/>
    </row>
    <row r="25" spans="1:20" x14ac:dyDescent="0.6">
      <c r="A25" s="620">
        <f t="shared" si="2"/>
        <v>18</v>
      </c>
      <c r="B25" s="620" t="s">
        <v>842</v>
      </c>
      <c r="C25" s="620" t="s">
        <v>843</v>
      </c>
      <c r="D25" s="559" t="s">
        <v>838</v>
      </c>
      <c r="E25" s="624">
        <v>43696</v>
      </c>
      <c r="G25" s="620">
        <v>11</v>
      </c>
      <c r="H25" s="625">
        <v>31263.119999999999</v>
      </c>
      <c r="J25" s="625">
        <v>10421.040000000001</v>
      </c>
      <c r="K25" s="620">
        <v>0</v>
      </c>
      <c r="L25" s="620">
        <v>0</v>
      </c>
      <c r="M25" s="620">
        <v>0</v>
      </c>
      <c r="N25" s="620">
        <v>0</v>
      </c>
      <c r="O25" s="620">
        <v>0</v>
      </c>
      <c r="P25" s="620">
        <v>0</v>
      </c>
      <c r="Q25" s="620">
        <v>0</v>
      </c>
      <c r="S25" s="626">
        <f t="shared" si="1"/>
        <v>10421.040000000001</v>
      </c>
      <c r="T25" s="626"/>
    </row>
    <row r="26" spans="1:20" x14ac:dyDescent="0.6">
      <c r="A26" s="620">
        <f t="shared" si="2"/>
        <v>19</v>
      </c>
      <c r="B26" s="620" t="s">
        <v>844</v>
      </c>
      <c r="C26" s="620" t="s">
        <v>845</v>
      </c>
      <c r="D26" s="557" t="s">
        <v>846</v>
      </c>
      <c r="E26" s="624">
        <v>43675</v>
      </c>
      <c r="F26" s="624"/>
      <c r="G26" s="620">
        <v>11</v>
      </c>
      <c r="H26" s="625">
        <v>61000</v>
      </c>
      <c r="J26" s="626">
        <v>25072.13</v>
      </c>
      <c r="K26" s="626">
        <f>2537.09*2</f>
        <v>5074.18</v>
      </c>
      <c r="L26" s="626">
        <f t="shared" ref="L26:Q26" si="6">K26</f>
        <v>5074.18</v>
      </c>
      <c r="M26" s="626">
        <f t="shared" si="6"/>
        <v>5074.18</v>
      </c>
      <c r="N26" s="626">
        <f t="shared" si="6"/>
        <v>5074.18</v>
      </c>
      <c r="O26" s="626">
        <f t="shared" si="6"/>
        <v>5074.18</v>
      </c>
      <c r="P26" s="626">
        <f t="shared" si="6"/>
        <v>5074.18</v>
      </c>
      <c r="Q26" s="626">
        <f t="shared" si="6"/>
        <v>5074.18</v>
      </c>
      <c r="R26" s="626"/>
      <c r="S26" s="626">
        <f t="shared" si="1"/>
        <v>60591.390000000007</v>
      </c>
    </row>
    <row r="27" spans="1:20" x14ac:dyDescent="0.6">
      <c r="A27" s="620">
        <f t="shared" si="2"/>
        <v>20</v>
      </c>
      <c r="B27" s="620" t="s">
        <v>847</v>
      </c>
      <c r="C27" s="620" t="s">
        <v>848</v>
      </c>
      <c r="D27" s="624" t="s">
        <v>849</v>
      </c>
      <c r="E27" s="624">
        <v>43675</v>
      </c>
      <c r="F27" s="625"/>
      <c r="G27" s="620">
        <v>11</v>
      </c>
      <c r="H27" s="625">
        <v>58500</v>
      </c>
      <c r="J27" s="628">
        <v>21937.5</v>
      </c>
      <c r="K27" s="630">
        <v>0</v>
      </c>
      <c r="L27" s="630">
        <v>0</v>
      </c>
      <c r="M27" s="630">
        <v>0</v>
      </c>
      <c r="N27" s="630">
        <v>0</v>
      </c>
      <c r="O27" s="630">
        <v>0</v>
      </c>
      <c r="P27" s="630">
        <v>0</v>
      </c>
      <c r="Q27" s="630">
        <v>0</v>
      </c>
      <c r="R27" s="630"/>
      <c r="S27" s="630">
        <f t="shared" si="1"/>
        <v>21937.5</v>
      </c>
    </row>
    <row r="28" spans="1:20" x14ac:dyDescent="0.6">
      <c r="A28" s="620">
        <f t="shared" si="2"/>
        <v>21</v>
      </c>
      <c r="B28" s="620" t="s">
        <v>850</v>
      </c>
      <c r="C28" s="620" t="s">
        <v>848</v>
      </c>
      <c r="D28" s="624" t="s">
        <v>849</v>
      </c>
      <c r="E28" s="624"/>
      <c r="F28" s="625"/>
      <c r="H28" s="625"/>
      <c r="J28" s="628"/>
      <c r="K28" s="630">
        <f>(58500/12)</f>
        <v>4875</v>
      </c>
      <c r="L28" s="630">
        <f t="shared" ref="L28:Q28" si="7">(58500/12)</f>
        <v>4875</v>
      </c>
      <c r="M28" s="630">
        <f t="shared" si="7"/>
        <v>4875</v>
      </c>
      <c r="N28" s="630">
        <f t="shared" si="7"/>
        <v>4875</v>
      </c>
      <c r="O28" s="630">
        <f t="shared" si="7"/>
        <v>4875</v>
      </c>
      <c r="P28" s="630">
        <f t="shared" si="7"/>
        <v>4875</v>
      </c>
      <c r="Q28" s="630">
        <f t="shared" si="7"/>
        <v>4875</v>
      </c>
      <c r="R28" s="626"/>
      <c r="S28" s="630">
        <f t="shared" si="1"/>
        <v>34125</v>
      </c>
    </row>
    <row r="29" spans="1:20" x14ac:dyDescent="0.6">
      <c r="D29" s="624"/>
      <c r="E29" s="624"/>
      <c r="F29" s="625"/>
      <c r="H29" s="625"/>
      <c r="J29" s="628"/>
      <c r="K29" s="630"/>
      <c r="L29" s="630"/>
      <c r="M29" s="630"/>
      <c r="N29" s="630"/>
      <c r="O29" s="630"/>
      <c r="P29" s="630"/>
      <c r="Q29" s="630"/>
      <c r="R29" s="626"/>
      <c r="S29" s="630"/>
    </row>
    <row r="30" spans="1:20" x14ac:dyDescent="0.6">
      <c r="J30" s="631"/>
      <c r="K30" s="631"/>
      <c r="L30" s="631"/>
      <c r="M30" s="631"/>
      <c r="N30" s="631"/>
      <c r="O30" s="631"/>
      <c r="P30" s="631"/>
      <c r="Q30" s="631"/>
      <c r="R30" s="626"/>
      <c r="S30" s="631"/>
      <c r="T30" s="626"/>
    </row>
    <row r="31" spans="1:20" x14ac:dyDescent="0.6">
      <c r="J31" s="632">
        <f>SUM(J8:J28)</f>
        <v>432734.50999999989</v>
      </c>
      <c r="K31" s="632">
        <f t="shared" ref="K31:S31" si="8">SUM(K8:K28)</f>
        <v>89425.799999999988</v>
      </c>
      <c r="L31" s="632">
        <f t="shared" si="8"/>
        <v>88413.299999999988</v>
      </c>
      <c r="M31" s="632">
        <f t="shared" si="8"/>
        <v>88413.299999999988</v>
      </c>
      <c r="N31" s="632">
        <f t="shared" si="8"/>
        <v>88413.299999999988</v>
      </c>
      <c r="O31" s="632">
        <f t="shared" si="8"/>
        <v>88413.299999999988</v>
      </c>
      <c r="P31" s="632">
        <f t="shared" si="8"/>
        <v>88413.299999999988</v>
      </c>
      <c r="Q31" s="632">
        <f t="shared" si="8"/>
        <v>56682.459999999992</v>
      </c>
      <c r="R31" s="632"/>
      <c r="S31" s="632">
        <f t="shared" si="8"/>
        <v>1020909.2699999999</v>
      </c>
      <c r="T31" s="626"/>
    </row>
    <row r="32" spans="1:20" x14ac:dyDescent="0.6"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</row>
    <row r="33" spans="10:20" x14ac:dyDescent="0.6"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</row>
    <row r="34" spans="10:20" x14ac:dyDescent="0.6"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</row>
    <row r="35" spans="10:20" x14ac:dyDescent="0.6"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</row>
    <row r="36" spans="10:20" x14ac:dyDescent="0.6"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</row>
    <row r="37" spans="10:20" x14ac:dyDescent="0.6"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</row>
    <row r="38" spans="10:20" x14ac:dyDescent="0.6"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</row>
    <row r="39" spans="10:20" x14ac:dyDescent="0.6"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</row>
    <row r="40" spans="10:20" x14ac:dyDescent="0.6"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</row>
    <row r="41" spans="10:20" x14ac:dyDescent="0.6"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</row>
    <row r="42" spans="10:20" x14ac:dyDescent="0.6"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</row>
    <row r="43" spans="10:20" x14ac:dyDescent="0.6"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</row>
    <row r="44" spans="10:20" x14ac:dyDescent="0.6"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626"/>
    </row>
    <row r="45" spans="10:20" x14ac:dyDescent="0.6"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6"/>
    </row>
    <row r="46" spans="10:20" x14ac:dyDescent="0.6"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286"/>
  <sheetViews>
    <sheetView workbookViewId="0">
      <selection sqref="A1:XFD1048576"/>
    </sheetView>
  </sheetViews>
  <sheetFormatPr defaultColWidth="8.6796875" defaultRowHeight="14.75" x14ac:dyDescent="0.75"/>
  <cols>
    <col min="1" max="1" width="49" style="695" customWidth="1"/>
    <col min="2" max="2" width="30.81640625" style="695" customWidth="1"/>
    <col min="3" max="16384" width="8.6796875" style="695"/>
  </cols>
  <sheetData>
    <row r="1" spans="1:2" ht="18" x14ac:dyDescent="0.8">
      <c r="A1" s="800" t="s">
        <v>104</v>
      </c>
      <c r="B1" s="750"/>
    </row>
    <row r="2" spans="1:2" ht="18" x14ac:dyDescent="0.8">
      <c r="A2" s="800" t="s">
        <v>380</v>
      </c>
      <c r="B2" s="750"/>
    </row>
    <row r="3" spans="1:2" x14ac:dyDescent="0.75">
      <c r="A3" s="801" t="s">
        <v>872</v>
      </c>
      <c r="B3" s="750"/>
    </row>
    <row r="5" spans="1:2" x14ac:dyDescent="0.75">
      <c r="A5" s="177"/>
      <c r="B5" s="704" t="s">
        <v>15</v>
      </c>
    </row>
    <row r="6" spans="1:2" x14ac:dyDescent="0.75">
      <c r="A6" s="1" t="s">
        <v>10</v>
      </c>
      <c r="B6" s="705"/>
    </row>
    <row r="7" spans="1:2" x14ac:dyDescent="0.75">
      <c r="A7" s="1" t="s">
        <v>249</v>
      </c>
      <c r="B7" s="705"/>
    </row>
    <row r="8" spans="1:2" x14ac:dyDescent="0.75">
      <c r="A8" s="1" t="s">
        <v>250</v>
      </c>
      <c r="B8" s="2">
        <f>1216498.75</f>
        <v>1216498.75</v>
      </c>
    </row>
    <row r="9" spans="1:2" x14ac:dyDescent="0.75">
      <c r="A9" s="1" t="s">
        <v>252</v>
      </c>
      <c r="B9" s="2">
        <f>141380.99</f>
        <v>141380.99</v>
      </c>
    </row>
    <row r="10" spans="1:2" x14ac:dyDescent="0.75">
      <c r="A10" s="1" t="s">
        <v>251</v>
      </c>
      <c r="B10" s="2">
        <f>325597</f>
        <v>325597</v>
      </c>
    </row>
    <row r="11" spans="1:2" x14ac:dyDescent="0.75">
      <c r="A11" s="1" t="s">
        <v>381</v>
      </c>
      <c r="B11" s="705"/>
    </row>
    <row r="12" spans="1:2" x14ac:dyDescent="0.75">
      <c r="A12" s="1" t="s">
        <v>382</v>
      </c>
      <c r="B12" s="705"/>
    </row>
    <row r="13" spans="1:2" x14ac:dyDescent="0.75">
      <c r="A13" s="1" t="s">
        <v>383</v>
      </c>
      <c r="B13" s="705"/>
    </row>
    <row r="14" spans="1:2" x14ac:dyDescent="0.75">
      <c r="A14" s="1" t="s">
        <v>384</v>
      </c>
      <c r="B14" s="705"/>
    </row>
    <row r="15" spans="1:2" x14ac:dyDescent="0.75">
      <c r="A15" s="1" t="s">
        <v>385</v>
      </c>
      <c r="B15" s="705"/>
    </row>
    <row r="16" spans="1:2" x14ac:dyDescent="0.75">
      <c r="A16" s="1" t="s">
        <v>386</v>
      </c>
      <c r="B16" s="705"/>
    </row>
    <row r="17" spans="1:2" x14ac:dyDescent="0.75">
      <c r="A17" s="1" t="s">
        <v>248</v>
      </c>
      <c r="B17" s="706">
        <f>(((((((((B7)+(B8))+(B9))+(B10))+(B11))+(B12))+(B13))+(B14))+(B15))+(B16)</f>
        <v>1683476.74</v>
      </c>
    </row>
    <row r="18" spans="1:2" x14ac:dyDescent="0.75">
      <c r="A18" s="1" t="s">
        <v>63</v>
      </c>
      <c r="B18" s="705"/>
    </row>
    <row r="19" spans="1:2" x14ac:dyDescent="0.75">
      <c r="A19" s="1" t="s">
        <v>387</v>
      </c>
      <c r="B19" s="2">
        <f>12884</f>
        <v>12884</v>
      </c>
    </row>
    <row r="20" spans="1:2" x14ac:dyDescent="0.75">
      <c r="A20" s="1" t="s">
        <v>388</v>
      </c>
      <c r="B20" s="2">
        <f>29032</f>
        <v>29032</v>
      </c>
    </row>
    <row r="21" spans="1:2" x14ac:dyDescent="0.75">
      <c r="A21" s="1" t="s">
        <v>389</v>
      </c>
      <c r="B21" s="2">
        <f>4213</f>
        <v>4213</v>
      </c>
    </row>
    <row r="22" spans="1:2" x14ac:dyDescent="0.75">
      <c r="A22" s="1" t="s">
        <v>390</v>
      </c>
      <c r="B22" s="705"/>
    </row>
    <row r="23" spans="1:2" x14ac:dyDescent="0.75">
      <c r="A23" s="1" t="s">
        <v>391</v>
      </c>
      <c r="B23" s="2">
        <f>12058.29</f>
        <v>12058.29</v>
      </c>
    </row>
    <row r="24" spans="1:2" x14ac:dyDescent="0.75">
      <c r="A24" s="1" t="s">
        <v>392</v>
      </c>
      <c r="B24" s="705"/>
    </row>
    <row r="25" spans="1:2" x14ac:dyDescent="0.75">
      <c r="A25" s="1" t="s">
        <v>130</v>
      </c>
      <c r="B25" s="2">
        <f>215782.15</f>
        <v>215782.15</v>
      </c>
    </row>
    <row r="26" spans="1:2" x14ac:dyDescent="0.75">
      <c r="A26" s="1" t="s">
        <v>64</v>
      </c>
      <c r="B26" s="706">
        <f>(((((((B18)+(B19))+(B20))+(B21))+(B22))+(B23))+(B24))+(B25)</f>
        <v>273969.44</v>
      </c>
    </row>
    <row r="27" spans="1:2" x14ac:dyDescent="0.75">
      <c r="A27" s="1" t="s">
        <v>65</v>
      </c>
      <c r="B27" s="705"/>
    </row>
    <row r="28" spans="1:2" x14ac:dyDescent="0.75">
      <c r="A28" s="1" t="s">
        <v>393</v>
      </c>
      <c r="B28" s="705"/>
    </row>
    <row r="29" spans="1:2" x14ac:dyDescent="0.75">
      <c r="A29" s="1" t="s">
        <v>176</v>
      </c>
      <c r="B29" s="2">
        <f>11667.06</f>
        <v>11667.06</v>
      </c>
    </row>
    <row r="30" spans="1:2" x14ac:dyDescent="0.75">
      <c r="A30" s="1" t="s">
        <v>107</v>
      </c>
      <c r="B30" s="705"/>
    </row>
    <row r="31" spans="1:2" x14ac:dyDescent="0.75">
      <c r="A31" s="1" t="s">
        <v>394</v>
      </c>
      <c r="B31" s="705"/>
    </row>
    <row r="32" spans="1:2" x14ac:dyDescent="0.75">
      <c r="A32" s="1" t="s">
        <v>66</v>
      </c>
      <c r="B32" s="706">
        <f>((((B27)+(B28))+(B29))+(B30))+(B31)</f>
        <v>11667.06</v>
      </c>
    </row>
    <row r="33" spans="1:2" x14ac:dyDescent="0.75">
      <c r="A33" s="1" t="s">
        <v>395</v>
      </c>
      <c r="B33" s="705"/>
    </row>
    <row r="34" spans="1:2" x14ac:dyDescent="0.75">
      <c r="A34" s="1" t="s">
        <v>396</v>
      </c>
      <c r="B34" s="705"/>
    </row>
    <row r="35" spans="1:2" x14ac:dyDescent="0.75">
      <c r="A35" s="1" t="s">
        <v>397</v>
      </c>
      <c r="B35" s="706">
        <f>(B33)+(B34)</f>
        <v>0</v>
      </c>
    </row>
    <row r="36" spans="1:2" x14ac:dyDescent="0.75">
      <c r="A36" s="1" t="s">
        <v>398</v>
      </c>
      <c r="B36" s="705"/>
    </row>
    <row r="37" spans="1:2" x14ac:dyDescent="0.75">
      <c r="A37" s="1" t="s">
        <v>399</v>
      </c>
      <c r="B37" s="2">
        <f>0.48</f>
        <v>0.48</v>
      </c>
    </row>
    <row r="38" spans="1:2" x14ac:dyDescent="0.75">
      <c r="A38" s="1" t="s">
        <v>400</v>
      </c>
      <c r="B38" s="706">
        <f>(B36)+(B37)</f>
        <v>0.48</v>
      </c>
    </row>
    <row r="39" spans="1:2" x14ac:dyDescent="0.75">
      <c r="A39" s="1" t="s">
        <v>401</v>
      </c>
      <c r="B39" s="705"/>
    </row>
    <row r="40" spans="1:2" x14ac:dyDescent="0.75">
      <c r="A40" s="1" t="s">
        <v>402</v>
      </c>
      <c r="B40" s="705"/>
    </row>
    <row r="41" spans="1:2" x14ac:dyDescent="0.75">
      <c r="A41" s="1" t="s">
        <v>403</v>
      </c>
      <c r="B41" s="705"/>
    </row>
    <row r="42" spans="1:2" x14ac:dyDescent="0.75">
      <c r="A42" s="1" t="s">
        <v>404</v>
      </c>
      <c r="B42" s="705"/>
    </row>
    <row r="43" spans="1:2" x14ac:dyDescent="0.75">
      <c r="A43" s="1" t="s">
        <v>405</v>
      </c>
      <c r="B43" s="705"/>
    </row>
    <row r="44" spans="1:2" x14ac:dyDescent="0.75">
      <c r="A44" s="1" t="s">
        <v>406</v>
      </c>
      <c r="B44" s="706">
        <f>((((B39)+(B40))+(B41))+(B42))+(B43)</f>
        <v>0</v>
      </c>
    </row>
    <row r="45" spans="1:2" x14ac:dyDescent="0.75">
      <c r="A45" s="1" t="s">
        <v>407</v>
      </c>
      <c r="B45" s="705"/>
    </row>
    <row r="46" spans="1:2" x14ac:dyDescent="0.75">
      <c r="A46" s="1" t="s">
        <v>408</v>
      </c>
      <c r="B46" s="705"/>
    </row>
    <row r="47" spans="1:2" x14ac:dyDescent="0.75">
      <c r="A47" s="1" t="s">
        <v>409</v>
      </c>
      <c r="B47" s="705"/>
    </row>
    <row r="48" spans="1:2" x14ac:dyDescent="0.75">
      <c r="A48" s="1" t="s">
        <v>410</v>
      </c>
      <c r="B48" s="705"/>
    </row>
    <row r="49" spans="1:2" x14ac:dyDescent="0.75">
      <c r="A49" s="1" t="s">
        <v>11</v>
      </c>
      <c r="B49" s="706">
        <f>(((((((((B17)+(B26))+(B32))+(B35))+(B38))+(B44))+(B45))+(B46))+(B47))+(B48)</f>
        <v>1969113.72</v>
      </c>
    </row>
    <row r="50" spans="1:2" x14ac:dyDescent="0.75">
      <c r="A50" s="1" t="s">
        <v>411</v>
      </c>
      <c r="B50" s="705"/>
    </row>
    <row r="51" spans="1:2" x14ac:dyDescent="0.75">
      <c r="A51" s="1" t="s">
        <v>412</v>
      </c>
      <c r="B51" s="705"/>
    </row>
    <row r="52" spans="1:2" x14ac:dyDescent="0.75">
      <c r="A52" s="1" t="s">
        <v>413</v>
      </c>
      <c r="B52" s="705"/>
    </row>
    <row r="53" spans="1:2" x14ac:dyDescent="0.75">
      <c r="A53" s="1" t="s">
        <v>414</v>
      </c>
      <c r="B53" s="705"/>
    </row>
    <row r="54" spans="1:2" x14ac:dyDescent="0.75">
      <c r="A54" s="1" t="s">
        <v>415</v>
      </c>
      <c r="B54" s="706">
        <f>((B51)+(B52))+(B53)</f>
        <v>0</v>
      </c>
    </row>
    <row r="55" spans="1:2" x14ac:dyDescent="0.75">
      <c r="A55" s="1" t="s">
        <v>1</v>
      </c>
      <c r="B55" s="706">
        <f>(B49)-(B54)</f>
        <v>1969113.72</v>
      </c>
    </row>
    <row r="56" spans="1:2" x14ac:dyDescent="0.75">
      <c r="A56" s="1" t="s">
        <v>12</v>
      </c>
      <c r="B56" s="705"/>
    </row>
    <row r="57" spans="1:2" x14ac:dyDescent="0.75">
      <c r="A57" s="1" t="s">
        <v>131</v>
      </c>
      <c r="B57" s="705"/>
    </row>
    <row r="58" spans="1:2" x14ac:dyDescent="0.75">
      <c r="A58" s="1" t="s">
        <v>132</v>
      </c>
      <c r="B58" s="705"/>
    </row>
    <row r="59" spans="1:2" x14ac:dyDescent="0.75">
      <c r="A59" s="1" t="s">
        <v>133</v>
      </c>
      <c r="B59" s="2">
        <f>89266.72</f>
        <v>89266.72</v>
      </c>
    </row>
    <row r="60" spans="1:2" x14ac:dyDescent="0.75">
      <c r="A60" s="1" t="s">
        <v>416</v>
      </c>
      <c r="B60" s="705"/>
    </row>
    <row r="61" spans="1:2" x14ac:dyDescent="0.75">
      <c r="A61" s="1" t="s">
        <v>417</v>
      </c>
      <c r="B61" s="705"/>
    </row>
    <row r="62" spans="1:2" x14ac:dyDescent="0.75">
      <c r="A62" s="1" t="s">
        <v>255</v>
      </c>
      <c r="B62" s="2">
        <f>50307.63</f>
        <v>50307.63</v>
      </c>
    </row>
    <row r="63" spans="1:2" x14ac:dyDescent="0.75">
      <c r="A63" s="1" t="s">
        <v>134</v>
      </c>
      <c r="B63" s="2">
        <f>51109.01</f>
        <v>51109.01</v>
      </c>
    </row>
    <row r="64" spans="1:2" x14ac:dyDescent="0.75">
      <c r="A64" s="1" t="s">
        <v>418</v>
      </c>
      <c r="B64" s="705"/>
    </row>
    <row r="65" spans="1:2" x14ac:dyDescent="0.75">
      <c r="A65" s="1" t="s">
        <v>419</v>
      </c>
      <c r="B65" s="705"/>
    </row>
    <row r="66" spans="1:2" x14ac:dyDescent="0.75">
      <c r="A66" s="1" t="s">
        <v>135</v>
      </c>
      <c r="B66" s="2">
        <f>35100</f>
        <v>35100</v>
      </c>
    </row>
    <row r="67" spans="1:2" x14ac:dyDescent="0.75">
      <c r="A67" s="1" t="s">
        <v>420</v>
      </c>
      <c r="B67" s="705"/>
    </row>
    <row r="68" spans="1:2" x14ac:dyDescent="0.75">
      <c r="A68" s="1" t="s">
        <v>421</v>
      </c>
      <c r="B68" s="705"/>
    </row>
    <row r="69" spans="1:2" x14ac:dyDescent="0.75">
      <c r="A69" s="1" t="s">
        <v>422</v>
      </c>
      <c r="B69" s="705"/>
    </row>
    <row r="70" spans="1:2" x14ac:dyDescent="0.75">
      <c r="A70" s="1" t="s">
        <v>423</v>
      </c>
      <c r="B70" s="2">
        <f>2910</f>
        <v>2910</v>
      </c>
    </row>
    <row r="71" spans="1:2" x14ac:dyDescent="0.75">
      <c r="A71" s="1" t="s">
        <v>136</v>
      </c>
      <c r="B71" s="706">
        <f>((((((((((((B58)+(B59))+(B60))+(B61))+(B62))+(B63))+(B64))+(B65))+(B66))+(B67))+(B68))+(B69))+(B70)</f>
        <v>228693.36000000002</v>
      </c>
    </row>
    <row r="72" spans="1:2" x14ac:dyDescent="0.75">
      <c r="A72" s="1" t="s">
        <v>164</v>
      </c>
      <c r="B72" s="705"/>
    </row>
    <row r="73" spans="1:2" x14ac:dyDescent="0.75">
      <c r="A73" s="1" t="s">
        <v>424</v>
      </c>
      <c r="B73" s="705"/>
    </row>
    <row r="74" spans="1:2" x14ac:dyDescent="0.75">
      <c r="A74" s="1" t="s">
        <v>425</v>
      </c>
      <c r="B74" s="705"/>
    </row>
    <row r="75" spans="1:2" x14ac:dyDescent="0.75">
      <c r="A75" s="1" t="s">
        <v>426</v>
      </c>
      <c r="B75" s="705"/>
    </row>
    <row r="76" spans="1:2" x14ac:dyDescent="0.75">
      <c r="A76" s="1" t="s">
        <v>427</v>
      </c>
      <c r="B76" s="705"/>
    </row>
    <row r="77" spans="1:2" x14ac:dyDescent="0.75">
      <c r="A77" s="1" t="s">
        <v>256</v>
      </c>
      <c r="B77" s="2">
        <f>183242.37</f>
        <v>183242.37</v>
      </c>
    </row>
    <row r="78" spans="1:2" x14ac:dyDescent="0.75">
      <c r="A78" s="1" t="s">
        <v>428</v>
      </c>
      <c r="B78" s="705"/>
    </row>
    <row r="79" spans="1:2" x14ac:dyDescent="0.75">
      <c r="A79" s="1" t="s">
        <v>257</v>
      </c>
      <c r="B79" s="2">
        <f>120701.13</f>
        <v>120701.13</v>
      </c>
    </row>
    <row r="80" spans="1:2" x14ac:dyDescent="0.75">
      <c r="A80" s="1" t="s">
        <v>429</v>
      </c>
      <c r="B80" s="705"/>
    </row>
    <row r="81" spans="1:2" x14ac:dyDescent="0.75">
      <c r="A81" s="1" t="s">
        <v>430</v>
      </c>
      <c r="B81" s="705"/>
    </row>
    <row r="82" spans="1:2" x14ac:dyDescent="0.75">
      <c r="A82" s="1" t="s">
        <v>258</v>
      </c>
      <c r="B82" s="705"/>
    </row>
    <row r="83" spans="1:2" x14ac:dyDescent="0.75">
      <c r="A83" s="1" t="s">
        <v>431</v>
      </c>
      <c r="B83" s="705"/>
    </row>
    <row r="84" spans="1:2" x14ac:dyDescent="0.75">
      <c r="A84" s="1" t="s">
        <v>260</v>
      </c>
      <c r="B84" s="2">
        <f>34221.05</f>
        <v>34221.050000000003</v>
      </c>
    </row>
    <row r="85" spans="1:2" x14ac:dyDescent="0.75">
      <c r="A85" s="1" t="s">
        <v>261</v>
      </c>
      <c r="B85" s="2">
        <f>38449.52</f>
        <v>38449.519999999997</v>
      </c>
    </row>
    <row r="86" spans="1:2" x14ac:dyDescent="0.75">
      <c r="A86" s="1" t="s">
        <v>262</v>
      </c>
      <c r="B86" s="2">
        <f>21937.5</f>
        <v>21937.5</v>
      </c>
    </row>
    <row r="87" spans="1:2" x14ac:dyDescent="0.75">
      <c r="A87" s="1" t="s">
        <v>165</v>
      </c>
      <c r="B87" s="706">
        <f>((((((((((((((B72)+(B73))+(B74))+(B75))+(B76))+(B77))+(B78))+(B79))+(B80))+(B81))+(B82))+(B83))+(B84))+(B85))+(B86)</f>
        <v>398551.57</v>
      </c>
    </row>
    <row r="88" spans="1:2" x14ac:dyDescent="0.75">
      <c r="A88" s="1" t="s">
        <v>432</v>
      </c>
      <c r="B88" s="705"/>
    </row>
    <row r="89" spans="1:2" x14ac:dyDescent="0.75">
      <c r="A89" s="1" t="s">
        <v>433</v>
      </c>
      <c r="B89" s="705"/>
    </row>
    <row r="90" spans="1:2" x14ac:dyDescent="0.75">
      <c r="A90" s="1" t="s">
        <v>434</v>
      </c>
      <c r="B90" s="706">
        <f>(B88)+(B89)</f>
        <v>0</v>
      </c>
    </row>
    <row r="91" spans="1:2" x14ac:dyDescent="0.75">
      <c r="A91" s="1" t="s">
        <v>137</v>
      </c>
      <c r="B91" s="705"/>
    </row>
    <row r="92" spans="1:2" x14ac:dyDescent="0.75">
      <c r="A92" s="1" t="s">
        <v>435</v>
      </c>
      <c r="B92" s="705"/>
    </row>
    <row r="93" spans="1:2" x14ac:dyDescent="0.75">
      <c r="A93" s="1" t="s">
        <v>138</v>
      </c>
      <c r="B93" s="2">
        <f>12494.79</f>
        <v>12494.79</v>
      </c>
    </row>
    <row r="94" spans="1:2" x14ac:dyDescent="0.75">
      <c r="A94" s="1" t="s">
        <v>139</v>
      </c>
      <c r="B94" s="2">
        <f>36372.3</f>
        <v>36372.300000000003</v>
      </c>
    </row>
    <row r="95" spans="1:2" x14ac:dyDescent="0.75">
      <c r="A95" s="1" t="s">
        <v>140</v>
      </c>
      <c r="B95" s="2">
        <f>8506.43</f>
        <v>8506.43</v>
      </c>
    </row>
    <row r="96" spans="1:2" x14ac:dyDescent="0.75">
      <c r="A96" s="1" t="s">
        <v>141</v>
      </c>
      <c r="B96" s="705"/>
    </row>
    <row r="97" spans="1:2" x14ac:dyDescent="0.75">
      <c r="A97" s="1" t="s">
        <v>142</v>
      </c>
      <c r="B97" s="705"/>
    </row>
    <row r="98" spans="1:2" x14ac:dyDescent="0.75">
      <c r="A98" s="1" t="s">
        <v>143</v>
      </c>
      <c r="B98" s="705"/>
    </row>
    <row r="99" spans="1:2" x14ac:dyDescent="0.75">
      <c r="A99" s="1" t="s">
        <v>144</v>
      </c>
      <c r="B99" s="705"/>
    </row>
    <row r="100" spans="1:2" x14ac:dyDescent="0.75">
      <c r="A100" s="1" t="s">
        <v>145</v>
      </c>
      <c r="B100" s="705"/>
    </row>
    <row r="101" spans="1:2" x14ac:dyDescent="0.75">
      <c r="A101" s="1" t="s">
        <v>146</v>
      </c>
      <c r="B101" s="2">
        <f>801.27</f>
        <v>801.27</v>
      </c>
    </row>
    <row r="102" spans="1:2" x14ac:dyDescent="0.75">
      <c r="A102" s="1" t="s">
        <v>436</v>
      </c>
      <c r="B102" s="705"/>
    </row>
    <row r="103" spans="1:2" x14ac:dyDescent="0.75">
      <c r="A103" s="1" t="s">
        <v>147</v>
      </c>
      <c r="B103" s="2">
        <f>-371.01</f>
        <v>-371.01</v>
      </c>
    </row>
    <row r="104" spans="1:2" x14ac:dyDescent="0.75">
      <c r="A104" s="1" t="s">
        <v>148</v>
      </c>
      <c r="B104" s="706">
        <f>((((((((((((B91)+(B92))+(B93))+(B94))+(B95))+(B96))+(B97))+(B98))+(B99))+(B100))+(B101))+(B102))+(B103)</f>
        <v>57803.78</v>
      </c>
    </row>
    <row r="105" spans="1:2" x14ac:dyDescent="0.75">
      <c r="A105" s="1" t="s">
        <v>149</v>
      </c>
      <c r="B105" s="705"/>
    </row>
    <row r="106" spans="1:2" x14ac:dyDescent="0.75">
      <c r="A106" s="1" t="s">
        <v>150</v>
      </c>
      <c r="B106" s="2">
        <f>49077.18</f>
        <v>49077.18</v>
      </c>
    </row>
    <row r="107" spans="1:2" x14ac:dyDescent="0.75">
      <c r="A107" s="1" t="s">
        <v>151</v>
      </c>
      <c r="B107" s="2">
        <f>2249.03</f>
        <v>2249.0300000000002</v>
      </c>
    </row>
    <row r="108" spans="1:2" x14ac:dyDescent="0.75">
      <c r="A108" s="1" t="s">
        <v>169</v>
      </c>
      <c r="B108" s="2">
        <f>699.77</f>
        <v>699.77</v>
      </c>
    </row>
    <row r="109" spans="1:2" x14ac:dyDescent="0.75">
      <c r="A109" s="1" t="s">
        <v>152</v>
      </c>
      <c r="B109" s="2">
        <f>7825.99</f>
        <v>7825.99</v>
      </c>
    </row>
    <row r="110" spans="1:2" x14ac:dyDescent="0.75">
      <c r="A110" s="1" t="s">
        <v>873</v>
      </c>
      <c r="B110" s="2">
        <f>5409.51</f>
        <v>5409.51</v>
      </c>
    </row>
    <row r="111" spans="1:2" x14ac:dyDescent="0.75">
      <c r="A111" s="1" t="s">
        <v>437</v>
      </c>
      <c r="B111" s="705"/>
    </row>
    <row r="112" spans="1:2" x14ac:dyDescent="0.75">
      <c r="A112" s="1" t="s">
        <v>856</v>
      </c>
      <c r="B112" s="705"/>
    </row>
    <row r="113" spans="1:2" x14ac:dyDescent="0.75">
      <c r="A113" s="1" t="s">
        <v>438</v>
      </c>
      <c r="B113" s="2">
        <f>0</f>
        <v>0</v>
      </c>
    </row>
    <row r="114" spans="1:2" x14ac:dyDescent="0.75">
      <c r="A114" s="1" t="s">
        <v>439</v>
      </c>
      <c r="B114" s="2">
        <f>464.02</f>
        <v>464.02</v>
      </c>
    </row>
    <row r="115" spans="1:2" x14ac:dyDescent="0.75">
      <c r="A115" s="1" t="s">
        <v>440</v>
      </c>
      <c r="B115" s="2">
        <f>0</f>
        <v>0</v>
      </c>
    </row>
    <row r="116" spans="1:2" x14ac:dyDescent="0.75">
      <c r="A116" s="1" t="s">
        <v>441</v>
      </c>
      <c r="B116" s="2">
        <f>0</f>
        <v>0</v>
      </c>
    </row>
    <row r="117" spans="1:2" x14ac:dyDescent="0.75">
      <c r="A117" s="1" t="s">
        <v>442</v>
      </c>
      <c r="B117" s="2">
        <f>0</f>
        <v>0</v>
      </c>
    </row>
    <row r="118" spans="1:2" x14ac:dyDescent="0.75">
      <c r="A118" s="1" t="s">
        <v>153</v>
      </c>
      <c r="B118" s="706">
        <f>((((((((((((B105)+(B106))+(B107))+(B108))+(B109))+(B110))+(B111))+(B112))+(B113))+(B114))+(B115))+(B116))+(B117)</f>
        <v>65725.5</v>
      </c>
    </row>
    <row r="119" spans="1:2" x14ac:dyDescent="0.75">
      <c r="A119" s="1" t="s">
        <v>443</v>
      </c>
      <c r="B119" s="705"/>
    </row>
    <row r="120" spans="1:2" x14ac:dyDescent="0.75">
      <c r="A120" s="1" t="s">
        <v>444</v>
      </c>
      <c r="B120" s="705"/>
    </row>
    <row r="121" spans="1:2" x14ac:dyDescent="0.75">
      <c r="A121" s="1" t="s">
        <v>445</v>
      </c>
      <c r="B121" s="705"/>
    </row>
    <row r="122" spans="1:2" x14ac:dyDescent="0.75">
      <c r="A122" s="1" t="s">
        <v>446</v>
      </c>
      <c r="B122" s="705"/>
    </row>
    <row r="123" spans="1:2" x14ac:dyDescent="0.75">
      <c r="A123" s="1" t="s">
        <v>447</v>
      </c>
      <c r="B123" s="706">
        <f>(((B119)+(B120))+(B121))+(B122)</f>
        <v>0</v>
      </c>
    </row>
    <row r="124" spans="1:2" x14ac:dyDescent="0.75">
      <c r="A124" s="1" t="s">
        <v>154</v>
      </c>
      <c r="B124" s="706">
        <f>((((((B57)+(B71))+(B87))+(B90))+(B104))+(B118))+(B123)</f>
        <v>750774.21000000008</v>
      </c>
    </row>
    <row r="125" spans="1:2" x14ac:dyDescent="0.75">
      <c r="A125" s="1" t="s">
        <v>67</v>
      </c>
      <c r="B125" s="705"/>
    </row>
    <row r="126" spans="1:2" x14ac:dyDescent="0.75">
      <c r="A126" s="1" t="s">
        <v>68</v>
      </c>
      <c r="B126" s="705"/>
    </row>
    <row r="127" spans="1:2" x14ac:dyDescent="0.75">
      <c r="A127" s="1" t="s">
        <v>69</v>
      </c>
      <c r="B127" s="2">
        <f>10920</f>
        <v>10920</v>
      </c>
    </row>
    <row r="128" spans="1:2" x14ac:dyDescent="0.75">
      <c r="A128" s="1" t="s">
        <v>70</v>
      </c>
      <c r="B128" s="2">
        <f>57648.9</f>
        <v>57648.9</v>
      </c>
    </row>
    <row r="129" spans="1:2" x14ac:dyDescent="0.75">
      <c r="A129" s="1" t="s">
        <v>71</v>
      </c>
      <c r="B129" s="705"/>
    </row>
    <row r="130" spans="1:2" x14ac:dyDescent="0.75">
      <c r="A130" s="1" t="s">
        <v>448</v>
      </c>
      <c r="B130" s="705"/>
    </row>
    <row r="131" spans="1:2" x14ac:dyDescent="0.75">
      <c r="A131" s="1" t="s">
        <v>449</v>
      </c>
      <c r="B131" s="705"/>
    </row>
    <row r="132" spans="1:2" x14ac:dyDescent="0.75">
      <c r="A132" s="1" t="s">
        <v>177</v>
      </c>
      <c r="B132" s="2">
        <f>2500</f>
        <v>2500</v>
      </c>
    </row>
    <row r="133" spans="1:2" x14ac:dyDescent="0.75">
      <c r="A133" s="1" t="s">
        <v>72</v>
      </c>
      <c r="B133" s="2">
        <f>3000</f>
        <v>3000</v>
      </c>
    </row>
    <row r="134" spans="1:2" x14ac:dyDescent="0.75">
      <c r="A134" s="1" t="s">
        <v>108</v>
      </c>
      <c r="B134" s="705"/>
    </row>
    <row r="135" spans="1:2" x14ac:dyDescent="0.75">
      <c r="A135" s="1" t="s">
        <v>450</v>
      </c>
      <c r="B135" s="705"/>
    </row>
    <row r="136" spans="1:2" x14ac:dyDescent="0.75">
      <c r="A136" s="1" t="s">
        <v>451</v>
      </c>
      <c r="B136" s="705"/>
    </row>
    <row r="137" spans="1:2" x14ac:dyDescent="0.75">
      <c r="A137" s="1" t="s">
        <v>452</v>
      </c>
      <c r="B137" s="705"/>
    </row>
    <row r="138" spans="1:2" x14ac:dyDescent="0.75">
      <c r="A138" s="1" t="s">
        <v>264</v>
      </c>
      <c r="B138" s="705"/>
    </row>
    <row r="139" spans="1:2" x14ac:dyDescent="0.75">
      <c r="A139" s="1" t="s">
        <v>73</v>
      </c>
      <c r="B139" s="2">
        <f>5380</f>
        <v>5380</v>
      </c>
    </row>
    <row r="140" spans="1:2" x14ac:dyDescent="0.75">
      <c r="A140" s="1" t="s">
        <v>74</v>
      </c>
      <c r="B140" s="706">
        <f>((((((((((((((B125)+(B126))+(B127))+(B128))+(B129))+(B130))+(B131))+(B132))+(B133))+(B134))+(B135))+(B136))+(B137))+(B138))+(B139)</f>
        <v>79448.899999999994</v>
      </c>
    </row>
    <row r="141" spans="1:2" x14ac:dyDescent="0.75">
      <c r="A141" s="1" t="s">
        <v>75</v>
      </c>
      <c r="B141" s="705"/>
    </row>
    <row r="142" spans="1:2" x14ac:dyDescent="0.75">
      <c r="A142" s="1" t="s">
        <v>109</v>
      </c>
      <c r="B142" s="2">
        <f>414.99</f>
        <v>414.99</v>
      </c>
    </row>
    <row r="143" spans="1:2" x14ac:dyDescent="0.75">
      <c r="A143" s="1" t="s">
        <v>267</v>
      </c>
      <c r="B143" s="2">
        <f>4854.18</f>
        <v>4854.18</v>
      </c>
    </row>
    <row r="144" spans="1:2" x14ac:dyDescent="0.75">
      <c r="A144" s="1" t="s">
        <v>76</v>
      </c>
      <c r="B144" s="706">
        <f>((B141)+(B142))+(B143)</f>
        <v>5269.17</v>
      </c>
    </row>
    <row r="145" spans="1:2" x14ac:dyDescent="0.75">
      <c r="A145" s="1" t="s">
        <v>166</v>
      </c>
      <c r="B145" s="705"/>
    </row>
    <row r="146" spans="1:2" x14ac:dyDescent="0.75">
      <c r="A146" s="1" t="s">
        <v>167</v>
      </c>
      <c r="B146" s="2">
        <f>33194.38</f>
        <v>33194.379999999997</v>
      </c>
    </row>
    <row r="147" spans="1:2" x14ac:dyDescent="0.75">
      <c r="A147" s="1" t="s">
        <v>268</v>
      </c>
      <c r="B147" s="705"/>
    </row>
    <row r="148" spans="1:2" x14ac:dyDescent="0.75">
      <c r="A148" s="1" t="s">
        <v>269</v>
      </c>
      <c r="B148" s="2">
        <f>513.38</f>
        <v>513.38</v>
      </c>
    </row>
    <row r="149" spans="1:2" x14ac:dyDescent="0.75">
      <c r="A149" s="1" t="s">
        <v>453</v>
      </c>
      <c r="B149" s="705"/>
    </row>
    <row r="150" spans="1:2" x14ac:dyDescent="0.75">
      <c r="A150" s="1" t="s">
        <v>454</v>
      </c>
      <c r="B150" s="705"/>
    </row>
    <row r="151" spans="1:2" x14ac:dyDescent="0.75">
      <c r="A151" s="1" t="s">
        <v>270</v>
      </c>
      <c r="B151" s="2">
        <f>385.06</f>
        <v>385.06</v>
      </c>
    </row>
    <row r="152" spans="1:2" x14ac:dyDescent="0.75">
      <c r="A152" s="1" t="s">
        <v>455</v>
      </c>
      <c r="B152" s="705"/>
    </row>
    <row r="153" spans="1:2" x14ac:dyDescent="0.75">
      <c r="A153" s="1" t="s">
        <v>456</v>
      </c>
      <c r="B153" s="705"/>
    </row>
    <row r="154" spans="1:2" x14ac:dyDescent="0.75">
      <c r="A154" s="1" t="s">
        <v>457</v>
      </c>
      <c r="B154" s="705"/>
    </row>
    <row r="155" spans="1:2" x14ac:dyDescent="0.75">
      <c r="A155" s="1" t="s">
        <v>168</v>
      </c>
      <c r="B155" s="706">
        <f>(((((((((B145)+(B146))+(B147))+(B148))+(B149))+(B150))+(B151))+(B152))+(B153))+(B154)</f>
        <v>34092.819999999992</v>
      </c>
    </row>
    <row r="156" spans="1:2" x14ac:dyDescent="0.75">
      <c r="A156" s="1" t="s">
        <v>458</v>
      </c>
      <c r="B156" s="705"/>
    </row>
    <row r="157" spans="1:2" x14ac:dyDescent="0.75">
      <c r="A157" s="1" t="s">
        <v>459</v>
      </c>
      <c r="B157" s="705"/>
    </row>
    <row r="158" spans="1:2" x14ac:dyDescent="0.75">
      <c r="A158" s="1" t="s">
        <v>460</v>
      </c>
      <c r="B158" s="706">
        <f>(B156)+(B157)</f>
        <v>0</v>
      </c>
    </row>
    <row r="159" spans="1:2" x14ac:dyDescent="0.75">
      <c r="A159" s="1" t="s">
        <v>272</v>
      </c>
      <c r="B159" s="705"/>
    </row>
    <row r="160" spans="1:2" x14ac:dyDescent="0.75">
      <c r="A160" s="1" t="s">
        <v>273</v>
      </c>
      <c r="B160" s="2">
        <f>8706.38</f>
        <v>8706.3799999999992</v>
      </c>
    </row>
    <row r="161" spans="1:2" x14ac:dyDescent="0.75">
      <c r="A161" s="1" t="s">
        <v>461</v>
      </c>
      <c r="B161" s="705"/>
    </row>
    <row r="162" spans="1:2" x14ac:dyDescent="0.75">
      <c r="A162" s="1" t="s">
        <v>274</v>
      </c>
      <c r="B162" s="2">
        <f>15528.21</f>
        <v>15528.21</v>
      </c>
    </row>
    <row r="163" spans="1:2" x14ac:dyDescent="0.75">
      <c r="A163" s="1" t="s">
        <v>462</v>
      </c>
      <c r="B163" s="705"/>
    </row>
    <row r="164" spans="1:2" x14ac:dyDescent="0.75">
      <c r="A164" s="1" t="s">
        <v>271</v>
      </c>
      <c r="B164" s="706">
        <f>((((B159)+(B160))+(B161))+(B162))+(B163)</f>
        <v>24234.589999999997</v>
      </c>
    </row>
    <row r="165" spans="1:2" x14ac:dyDescent="0.75">
      <c r="A165" s="1" t="s">
        <v>463</v>
      </c>
      <c r="B165" s="705"/>
    </row>
    <row r="166" spans="1:2" x14ac:dyDescent="0.75">
      <c r="A166" s="1" t="s">
        <v>464</v>
      </c>
      <c r="B166" s="2">
        <f>503.63</f>
        <v>503.63</v>
      </c>
    </row>
    <row r="167" spans="1:2" x14ac:dyDescent="0.75">
      <c r="A167" s="1" t="s">
        <v>465</v>
      </c>
      <c r="B167" s="2">
        <f>130.11</f>
        <v>130.11000000000001</v>
      </c>
    </row>
    <row r="168" spans="1:2" x14ac:dyDescent="0.75">
      <c r="A168" s="1" t="s">
        <v>466</v>
      </c>
      <c r="B168" s="2">
        <f>2207.47</f>
        <v>2207.4699999999998</v>
      </c>
    </row>
    <row r="169" spans="1:2" x14ac:dyDescent="0.75">
      <c r="A169" s="1" t="s">
        <v>276</v>
      </c>
      <c r="B169" s="706">
        <f>(((B165)+(B166))+(B167))+(B168)</f>
        <v>2841.21</v>
      </c>
    </row>
    <row r="170" spans="1:2" x14ac:dyDescent="0.75">
      <c r="A170" s="1" t="s">
        <v>161</v>
      </c>
      <c r="B170" s="705"/>
    </row>
    <row r="171" spans="1:2" x14ac:dyDescent="0.75">
      <c r="A171" s="1" t="s">
        <v>275</v>
      </c>
      <c r="B171" s="2">
        <f>10791.2</f>
        <v>10791.2</v>
      </c>
    </row>
    <row r="172" spans="1:2" x14ac:dyDescent="0.75">
      <c r="A172" s="1" t="s">
        <v>171</v>
      </c>
      <c r="B172" s="2">
        <f>4888.39</f>
        <v>4888.3900000000003</v>
      </c>
    </row>
    <row r="173" spans="1:2" x14ac:dyDescent="0.75">
      <c r="A173" s="1" t="s">
        <v>200</v>
      </c>
      <c r="B173" s="2">
        <f>3200.12</f>
        <v>3200.12</v>
      </c>
    </row>
    <row r="174" spans="1:2" x14ac:dyDescent="0.75">
      <c r="A174" s="1" t="s">
        <v>162</v>
      </c>
      <c r="B174" s="2">
        <f>1835.64</f>
        <v>1835.64</v>
      </c>
    </row>
    <row r="175" spans="1:2" x14ac:dyDescent="0.75">
      <c r="A175" s="1" t="s">
        <v>201</v>
      </c>
      <c r="B175" s="2">
        <f>3700</f>
        <v>3700</v>
      </c>
    </row>
    <row r="176" spans="1:2" x14ac:dyDescent="0.75">
      <c r="A176" s="1" t="s">
        <v>163</v>
      </c>
      <c r="B176" s="706">
        <f>(((((B170)+(B171))+(B172))+(B173))+(B174))+(B175)</f>
        <v>24415.35</v>
      </c>
    </row>
    <row r="177" spans="1:2" x14ac:dyDescent="0.75">
      <c r="A177" s="1" t="s">
        <v>278</v>
      </c>
      <c r="B177" s="705"/>
    </row>
    <row r="178" spans="1:2" x14ac:dyDescent="0.75">
      <c r="A178" s="1" t="s">
        <v>279</v>
      </c>
      <c r="B178" s="2">
        <f>5517.49</f>
        <v>5517.49</v>
      </c>
    </row>
    <row r="179" spans="1:2" x14ac:dyDescent="0.75">
      <c r="A179" s="1" t="s">
        <v>467</v>
      </c>
      <c r="B179" s="705"/>
    </row>
    <row r="180" spans="1:2" x14ac:dyDescent="0.75">
      <c r="A180" s="1" t="s">
        <v>277</v>
      </c>
      <c r="B180" s="706">
        <f>((B177)+(B178))+(B179)</f>
        <v>5517.49</v>
      </c>
    </row>
    <row r="181" spans="1:2" x14ac:dyDescent="0.75">
      <c r="A181" s="1" t="s">
        <v>77</v>
      </c>
      <c r="B181" s="705"/>
    </row>
    <row r="182" spans="1:2" x14ac:dyDescent="0.75">
      <c r="A182" s="1" t="s">
        <v>280</v>
      </c>
      <c r="B182" s="2">
        <f>18903.1</f>
        <v>18903.099999999999</v>
      </c>
    </row>
    <row r="183" spans="1:2" x14ac:dyDescent="0.75">
      <c r="A183" s="1" t="s">
        <v>172</v>
      </c>
      <c r="B183" s="2">
        <f>24949.19</f>
        <v>24949.19</v>
      </c>
    </row>
    <row r="184" spans="1:2" x14ac:dyDescent="0.75">
      <c r="A184" s="1" t="s">
        <v>78</v>
      </c>
      <c r="B184" s="2">
        <f>787.92</f>
        <v>787.92</v>
      </c>
    </row>
    <row r="185" spans="1:2" x14ac:dyDescent="0.75">
      <c r="A185" s="1" t="s">
        <v>196</v>
      </c>
      <c r="B185" s="2">
        <f>4025.57</f>
        <v>4025.57</v>
      </c>
    </row>
    <row r="186" spans="1:2" x14ac:dyDescent="0.75">
      <c r="A186" s="1" t="s">
        <v>111</v>
      </c>
      <c r="B186" s="2">
        <f>1500</f>
        <v>1500</v>
      </c>
    </row>
    <row r="187" spans="1:2" x14ac:dyDescent="0.75">
      <c r="A187" s="1" t="s">
        <v>468</v>
      </c>
      <c r="B187" s="2">
        <f>0</f>
        <v>0</v>
      </c>
    </row>
    <row r="188" spans="1:2" x14ac:dyDescent="0.75">
      <c r="A188" s="1" t="s">
        <v>469</v>
      </c>
      <c r="B188" s="705"/>
    </row>
    <row r="189" spans="1:2" x14ac:dyDescent="0.75">
      <c r="A189" s="1" t="s">
        <v>470</v>
      </c>
      <c r="B189" s="705"/>
    </row>
    <row r="190" spans="1:2" x14ac:dyDescent="0.75">
      <c r="A190" s="1" t="s">
        <v>79</v>
      </c>
      <c r="B190" s="706">
        <f>((((((((B181)+(B182))+(B183))+(B184))+(B185))+(B186))+(B187))+(B188))+(B189)</f>
        <v>50165.779999999992</v>
      </c>
    </row>
    <row r="191" spans="1:2" x14ac:dyDescent="0.75">
      <c r="A191" s="1" t="s">
        <v>471</v>
      </c>
      <c r="B191" s="705"/>
    </row>
    <row r="192" spans="1:2" x14ac:dyDescent="0.75">
      <c r="A192" s="1" t="s">
        <v>472</v>
      </c>
      <c r="B192" s="2">
        <f>29602.82</f>
        <v>29602.82</v>
      </c>
    </row>
    <row r="193" spans="1:2" x14ac:dyDescent="0.75">
      <c r="A193" s="1" t="s">
        <v>473</v>
      </c>
      <c r="B193" s="706">
        <f>(B191)+(B192)</f>
        <v>29602.82</v>
      </c>
    </row>
    <row r="194" spans="1:2" x14ac:dyDescent="0.75">
      <c r="A194" s="1" t="s">
        <v>474</v>
      </c>
      <c r="B194" s="705"/>
    </row>
    <row r="195" spans="1:2" x14ac:dyDescent="0.75">
      <c r="A195" s="1" t="s">
        <v>475</v>
      </c>
      <c r="B195" s="705"/>
    </row>
    <row r="196" spans="1:2" x14ac:dyDescent="0.75">
      <c r="A196" s="1" t="s">
        <v>476</v>
      </c>
      <c r="B196" s="705"/>
    </row>
    <row r="197" spans="1:2" x14ac:dyDescent="0.75">
      <c r="A197" s="1" t="s">
        <v>477</v>
      </c>
      <c r="B197" s="705"/>
    </row>
    <row r="198" spans="1:2" x14ac:dyDescent="0.75">
      <c r="A198" s="1" t="s">
        <v>478</v>
      </c>
      <c r="B198" s="706">
        <f>(((B194)+(B195))+(B196))+(B197)</f>
        <v>0</v>
      </c>
    </row>
    <row r="199" spans="1:2" x14ac:dyDescent="0.75">
      <c r="A199" s="1" t="s">
        <v>203</v>
      </c>
      <c r="B199" s="705"/>
    </row>
    <row r="200" spans="1:2" x14ac:dyDescent="0.75">
      <c r="A200" s="1" t="s">
        <v>479</v>
      </c>
      <c r="B200" s="2">
        <f>2312.9</f>
        <v>2312.9</v>
      </c>
    </row>
    <row r="201" spans="1:2" x14ac:dyDescent="0.75">
      <c r="A201" s="1" t="s">
        <v>480</v>
      </c>
      <c r="B201" s="705"/>
    </row>
    <row r="202" spans="1:2" x14ac:dyDescent="0.75">
      <c r="A202" s="1" t="s">
        <v>204</v>
      </c>
      <c r="B202" s="706">
        <f>((B199)+(B200))+(B201)</f>
        <v>2312.9</v>
      </c>
    </row>
    <row r="203" spans="1:2" x14ac:dyDescent="0.75">
      <c r="A203" s="1" t="s">
        <v>80</v>
      </c>
      <c r="B203" s="705"/>
    </row>
    <row r="204" spans="1:2" x14ac:dyDescent="0.75">
      <c r="A204" s="1" t="s">
        <v>81</v>
      </c>
      <c r="B204" s="2">
        <f>13397.57</f>
        <v>13397.57</v>
      </c>
    </row>
    <row r="205" spans="1:2" x14ac:dyDescent="0.75">
      <c r="A205" s="1" t="s">
        <v>158</v>
      </c>
      <c r="B205" s="2">
        <f>221.92</f>
        <v>221.92</v>
      </c>
    </row>
    <row r="206" spans="1:2" x14ac:dyDescent="0.75">
      <c r="A206" s="1" t="s">
        <v>82</v>
      </c>
      <c r="B206" s="706">
        <f>((B203)+(B204))+(B205)</f>
        <v>13619.49</v>
      </c>
    </row>
    <row r="207" spans="1:2" x14ac:dyDescent="0.75">
      <c r="A207" s="1" t="s">
        <v>83</v>
      </c>
      <c r="B207" s="705"/>
    </row>
    <row r="208" spans="1:2" x14ac:dyDescent="0.75">
      <c r="A208" s="1" t="s">
        <v>281</v>
      </c>
      <c r="B208" s="2">
        <f>3157.9</f>
        <v>3157.9</v>
      </c>
    </row>
    <row r="209" spans="1:2" x14ac:dyDescent="0.75">
      <c r="A209" s="1" t="s">
        <v>84</v>
      </c>
      <c r="B209" s="2">
        <f>1318.38</f>
        <v>1318.38</v>
      </c>
    </row>
    <row r="210" spans="1:2" x14ac:dyDescent="0.75">
      <c r="A210" s="1" t="s">
        <v>282</v>
      </c>
      <c r="B210" s="2">
        <f>5991.87</f>
        <v>5991.87</v>
      </c>
    </row>
    <row r="211" spans="1:2" x14ac:dyDescent="0.75">
      <c r="A211" s="1" t="s">
        <v>85</v>
      </c>
      <c r="B211" s="706">
        <f>(((B207)+(B208))+(B209))+(B210)</f>
        <v>10468.150000000001</v>
      </c>
    </row>
    <row r="212" spans="1:2" x14ac:dyDescent="0.75">
      <c r="A212" s="1" t="s">
        <v>86</v>
      </c>
      <c r="B212" s="705"/>
    </row>
    <row r="213" spans="1:2" x14ac:dyDescent="0.75">
      <c r="A213" s="1" t="s">
        <v>110</v>
      </c>
      <c r="B213" s="2">
        <f>2992.8</f>
        <v>2992.8</v>
      </c>
    </row>
    <row r="214" spans="1:2" x14ac:dyDescent="0.75">
      <c r="A214" s="1" t="s">
        <v>87</v>
      </c>
      <c r="B214" s="706">
        <f>(B212)+(B213)</f>
        <v>2992.8</v>
      </c>
    </row>
    <row r="215" spans="1:2" x14ac:dyDescent="0.75">
      <c r="A215" s="1" t="s">
        <v>88</v>
      </c>
      <c r="B215" s="705"/>
    </row>
    <row r="216" spans="1:2" x14ac:dyDescent="0.75">
      <c r="A216" s="1" t="s">
        <v>89</v>
      </c>
      <c r="B216" s="2">
        <f>20589.78</f>
        <v>20589.78</v>
      </c>
    </row>
    <row r="217" spans="1:2" x14ac:dyDescent="0.75">
      <c r="A217" s="1" t="s">
        <v>90</v>
      </c>
      <c r="B217" s="706">
        <f>(B215)+(B216)</f>
        <v>20589.78</v>
      </c>
    </row>
    <row r="218" spans="1:2" x14ac:dyDescent="0.75">
      <c r="A218" s="1" t="s">
        <v>481</v>
      </c>
      <c r="B218" s="705"/>
    </row>
    <row r="219" spans="1:2" x14ac:dyDescent="0.75">
      <c r="A219" s="1" t="s">
        <v>482</v>
      </c>
      <c r="B219" s="2">
        <f>1213.85</f>
        <v>1213.8499999999999</v>
      </c>
    </row>
    <row r="220" spans="1:2" x14ac:dyDescent="0.75">
      <c r="A220" s="1" t="s">
        <v>483</v>
      </c>
      <c r="B220" s="706">
        <f>(B218)+(B219)</f>
        <v>1213.8499999999999</v>
      </c>
    </row>
    <row r="221" spans="1:2" x14ac:dyDescent="0.75">
      <c r="A221" s="1" t="s">
        <v>120</v>
      </c>
      <c r="B221" s="705"/>
    </row>
    <row r="222" spans="1:2" x14ac:dyDescent="0.75">
      <c r="A222" s="1" t="s">
        <v>155</v>
      </c>
      <c r="B222" s="2">
        <f>711.35</f>
        <v>711.35</v>
      </c>
    </row>
    <row r="223" spans="1:2" x14ac:dyDescent="0.75">
      <c r="A223" s="1" t="s">
        <v>119</v>
      </c>
      <c r="B223" s="2">
        <f>2812.53</f>
        <v>2812.53</v>
      </c>
    </row>
    <row r="224" spans="1:2" x14ac:dyDescent="0.75">
      <c r="A224" s="1" t="s">
        <v>121</v>
      </c>
      <c r="B224" s="706">
        <f>((B221)+(B222))+(B223)</f>
        <v>3523.88</v>
      </c>
    </row>
    <row r="225" spans="1:2" x14ac:dyDescent="0.75">
      <c r="A225" s="1" t="s">
        <v>484</v>
      </c>
      <c r="B225" s="705"/>
    </row>
    <row r="226" spans="1:2" x14ac:dyDescent="0.75">
      <c r="A226" s="1" t="s">
        <v>485</v>
      </c>
      <c r="B226" s="2">
        <f>1354.36</f>
        <v>1354.36</v>
      </c>
    </row>
    <row r="227" spans="1:2" x14ac:dyDescent="0.75">
      <c r="A227" s="1" t="s">
        <v>486</v>
      </c>
      <c r="B227" s="706">
        <f>(B225)+(B226)</f>
        <v>1354.36</v>
      </c>
    </row>
    <row r="228" spans="1:2" x14ac:dyDescent="0.75">
      <c r="A228" s="1" t="s">
        <v>91</v>
      </c>
      <c r="B228" s="705"/>
    </row>
    <row r="229" spans="1:2" x14ac:dyDescent="0.75">
      <c r="A229" s="1" t="s">
        <v>283</v>
      </c>
      <c r="B229" s="2">
        <f>329.55</f>
        <v>329.55</v>
      </c>
    </row>
    <row r="230" spans="1:2" x14ac:dyDescent="0.75">
      <c r="A230" s="1" t="s">
        <v>159</v>
      </c>
      <c r="B230" s="2">
        <f>109.21</f>
        <v>109.21</v>
      </c>
    </row>
    <row r="231" spans="1:2" x14ac:dyDescent="0.75">
      <c r="A231" s="1" t="s">
        <v>92</v>
      </c>
      <c r="B231" s="705"/>
    </row>
    <row r="232" spans="1:2" x14ac:dyDescent="0.75">
      <c r="A232" s="1" t="s">
        <v>128</v>
      </c>
      <c r="B232" s="705"/>
    </row>
    <row r="233" spans="1:2" x14ac:dyDescent="0.75">
      <c r="A233" s="1" t="s">
        <v>284</v>
      </c>
      <c r="B233" s="705"/>
    </row>
    <row r="234" spans="1:2" x14ac:dyDescent="0.75">
      <c r="A234" s="1" t="s">
        <v>93</v>
      </c>
      <c r="B234" s="706">
        <f>(((((B228)+(B229))+(B230))+(B231))+(B232))+(B233)</f>
        <v>438.76</v>
      </c>
    </row>
    <row r="235" spans="1:2" x14ac:dyDescent="0.75">
      <c r="A235" s="1" t="s">
        <v>94</v>
      </c>
      <c r="B235" s="705"/>
    </row>
    <row r="236" spans="1:2" x14ac:dyDescent="0.75">
      <c r="A236" s="1" t="s">
        <v>95</v>
      </c>
      <c r="B236" s="2">
        <f>19890.78</f>
        <v>19890.78</v>
      </c>
    </row>
    <row r="237" spans="1:2" x14ac:dyDescent="0.75">
      <c r="A237" s="1" t="s">
        <v>487</v>
      </c>
      <c r="B237" s="705"/>
    </row>
    <row r="238" spans="1:2" x14ac:dyDescent="0.75">
      <c r="A238" s="1" t="s">
        <v>96</v>
      </c>
      <c r="B238" s="706">
        <f>((B235)+(B236))+(B237)</f>
        <v>19890.78</v>
      </c>
    </row>
    <row r="239" spans="1:2" x14ac:dyDescent="0.75">
      <c r="A239" s="1" t="s">
        <v>178</v>
      </c>
      <c r="B239" s="705"/>
    </row>
    <row r="240" spans="1:2" x14ac:dyDescent="0.75">
      <c r="A240" s="1" t="s">
        <v>285</v>
      </c>
      <c r="B240" s="2">
        <f>346430.34</f>
        <v>346430.34</v>
      </c>
    </row>
    <row r="241" spans="1:2" x14ac:dyDescent="0.75">
      <c r="A241" s="1" t="s">
        <v>179</v>
      </c>
      <c r="B241" s="2">
        <f>17560.59</f>
        <v>17560.59</v>
      </c>
    </row>
    <row r="242" spans="1:2" x14ac:dyDescent="0.75">
      <c r="A242" s="1" t="s">
        <v>286</v>
      </c>
      <c r="B242" s="2">
        <f>33287.94</f>
        <v>33287.94</v>
      </c>
    </row>
    <row r="243" spans="1:2" x14ac:dyDescent="0.75">
      <c r="A243" s="1" t="s">
        <v>488</v>
      </c>
      <c r="B243" s="2">
        <f>3535.86</f>
        <v>3535.86</v>
      </c>
    </row>
    <row r="244" spans="1:2" x14ac:dyDescent="0.75">
      <c r="A244" s="1" t="s">
        <v>489</v>
      </c>
      <c r="B244" s="2">
        <f>56116.07</f>
        <v>56116.07</v>
      </c>
    </row>
    <row r="245" spans="1:2" x14ac:dyDescent="0.75">
      <c r="A245" s="1" t="s">
        <v>287</v>
      </c>
      <c r="B245" s="2">
        <f>617292.16</f>
        <v>617292.16</v>
      </c>
    </row>
    <row r="246" spans="1:2" x14ac:dyDescent="0.75">
      <c r="A246" s="1" t="s">
        <v>490</v>
      </c>
      <c r="B246" s="705"/>
    </row>
    <row r="247" spans="1:2" x14ac:dyDescent="0.75">
      <c r="A247" s="1" t="s">
        <v>180</v>
      </c>
      <c r="B247" s="706">
        <f>(((((((B239)+(B240))+(B241))+(B242))+(B243))+(B244))+(B245))+(B246)</f>
        <v>1074222.96</v>
      </c>
    </row>
    <row r="248" spans="1:2" x14ac:dyDescent="0.75">
      <c r="A248" s="1" t="s">
        <v>491</v>
      </c>
      <c r="B248" s="705"/>
    </row>
    <row r="249" spans="1:2" x14ac:dyDescent="0.75">
      <c r="A249" s="1" t="s">
        <v>492</v>
      </c>
      <c r="B249" s="2">
        <f>23209</f>
        <v>23209</v>
      </c>
    </row>
    <row r="250" spans="1:2" x14ac:dyDescent="0.75">
      <c r="A250" s="1" t="s">
        <v>493</v>
      </c>
      <c r="B250" s="705"/>
    </row>
    <row r="251" spans="1:2" x14ac:dyDescent="0.75">
      <c r="A251" s="1" t="s">
        <v>494</v>
      </c>
      <c r="B251" s="706">
        <f>((B248)+(B249))+(B250)</f>
        <v>23209</v>
      </c>
    </row>
    <row r="252" spans="1:2" x14ac:dyDescent="0.75">
      <c r="A252" s="1" t="s">
        <v>495</v>
      </c>
      <c r="B252" s="705"/>
    </row>
    <row r="253" spans="1:2" x14ac:dyDescent="0.75">
      <c r="A253" s="1" t="s">
        <v>496</v>
      </c>
      <c r="B253" s="705"/>
    </row>
    <row r="254" spans="1:2" x14ac:dyDescent="0.75">
      <c r="A254" s="1" t="s">
        <v>497</v>
      </c>
      <c r="B254" s="705"/>
    </row>
    <row r="255" spans="1:2" x14ac:dyDescent="0.75">
      <c r="A255" s="1" t="s">
        <v>498</v>
      </c>
      <c r="B255" s="705"/>
    </row>
    <row r="256" spans="1:2" x14ac:dyDescent="0.75">
      <c r="A256" s="1" t="s">
        <v>499</v>
      </c>
      <c r="B256" s="705"/>
    </row>
    <row r="257" spans="1:2" x14ac:dyDescent="0.75">
      <c r="A257" s="1" t="s">
        <v>500</v>
      </c>
      <c r="B257" s="705"/>
    </row>
    <row r="258" spans="1:2" x14ac:dyDescent="0.75">
      <c r="A258" s="1" t="s">
        <v>501</v>
      </c>
      <c r="B258" s="705"/>
    </row>
    <row r="259" spans="1:2" x14ac:dyDescent="0.75">
      <c r="A259" s="1" t="s">
        <v>502</v>
      </c>
      <c r="B259" s="705"/>
    </row>
    <row r="260" spans="1:2" x14ac:dyDescent="0.75">
      <c r="A260" s="1" t="s">
        <v>503</v>
      </c>
      <c r="B260" s="705"/>
    </row>
    <row r="261" spans="1:2" x14ac:dyDescent="0.75">
      <c r="A261" s="1" t="s">
        <v>504</v>
      </c>
      <c r="B261" s="705"/>
    </row>
    <row r="262" spans="1:2" x14ac:dyDescent="0.75">
      <c r="A262" s="1" t="s">
        <v>505</v>
      </c>
      <c r="B262" s="705"/>
    </row>
    <row r="263" spans="1:2" x14ac:dyDescent="0.75">
      <c r="A263" s="1" t="s">
        <v>506</v>
      </c>
      <c r="B263" s="705"/>
    </row>
    <row r="264" spans="1:2" x14ac:dyDescent="0.75">
      <c r="A264" s="1" t="s">
        <v>507</v>
      </c>
      <c r="B264" s="705"/>
    </row>
    <row r="265" spans="1:2" x14ac:dyDescent="0.75">
      <c r="A265" s="1" t="s">
        <v>508</v>
      </c>
      <c r="B265" s="705"/>
    </row>
    <row r="266" spans="1:2" x14ac:dyDescent="0.75">
      <c r="A266" s="1" t="s">
        <v>509</v>
      </c>
      <c r="B266" s="705"/>
    </row>
    <row r="267" spans="1:2" x14ac:dyDescent="0.75">
      <c r="A267" s="1" t="s">
        <v>510</v>
      </c>
      <c r="B267" s="705"/>
    </row>
    <row r="268" spans="1:2" x14ac:dyDescent="0.75">
      <c r="A268" s="1" t="s">
        <v>511</v>
      </c>
      <c r="B268" s="705"/>
    </row>
    <row r="269" spans="1:2" x14ac:dyDescent="0.75">
      <c r="A269" s="1" t="s">
        <v>512</v>
      </c>
      <c r="B269" s="705"/>
    </row>
    <row r="270" spans="1:2" x14ac:dyDescent="0.75">
      <c r="A270" s="1" t="s">
        <v>513</v>
      </c>
      <c r="B270" s="705"/>
    </row>
    <row r="271" spans="1:2" x14ac:dyDescent="0.75">
      <c r="A271" s="1" t="s">
        <v>514</v>
      </c>
      <c r="B271" s="705"/>
    </row>
    <row r="272" spans="1:2" x14ac:dyDescent="0.75">
      <c r="A272" s="1" t="s">
        <v>515</v>
      </c>
      <c r="B272" s="705"/>
    </row>
    <row r="273" spans="1:2" x14ac:dyDescent="0.75">
      <c r="A273" s="1" t="s">
        <v>516</v>
      </c>
      <c r="B273" s="705"/>
    </row>
    <row r="274" spans="1:2" x14ac:dyDescent="0.75">
      <c r="A274" s="1" t="s">
        <v>517</v>
      </c>
      <c r="B274" s="705"/>
    </row>
    <row r="275" spans="1:2" x14ac:dyDescent="0.75">
      <c r="A275" s="1" t="s">
        <v>13</v>
      </c>
      <c r="B275" s="706">
        <f>((((((((((((((((((((((((((((((((((((((((((((((B124)+(B140))+(B144))+(B155))+(B158))+(B164))+(B169))+(B176))+(B180))+(B190))+(B193))+(B198))+(B202))+(B206))+(B211))+(B214))+(B217))+(B220))+(B224))+(B227))+(B234))+(B238))+(B247))+(B251))+(B252))+(B253))+(B254))+(B255))+(B256))+(B257))+(B258))+(B259))+(B260))+(B261))+(B262))+(B263))+(B264))+(B265))+(B266))+(B267))+(B268))+(B269))+(B270))+(B271))+(B272))+(B273))+(B274)</f>
        <v>2180199.0499999998</v>
      </c>
    </row>
    <row r="276" spans="1:2" x14ac:dyDescent="0.75">
      <c r="A276" s="1" t="s">
        <v>97</v>
      </c>
      <c r="B276" s="706">
        <f>(B55)-(B275)</f>
        <v>-211085.32999999984</v>
      </c>
    </row>
    <row r="277" spans="1:2" x14ac:dyDescent="0.75">
      <c r="A277" s="1" t="s">
        <v>518</v>
      </c>
      <c r="B277" s="705"/>
    </row>
    <row r="278" spans="1:2" x14ac:dyDescent="0.75">
      <c r="A278" s="1" t="s">
        <v>519</v>
      </c>
      <c r="B278" s="2">
        <f>0</f>
        <v>0</v>
      </c>
    </row>
    <row r="279" spans="1:2" x14ac:dyDescent="0.75">
      <c r="A279" s="1" t="s">
        <v>520</v>
      </c>
      <c r="B279" s="705"/>
    </row>
    <row r="280" spans="1:2" x14ac:dyDescent="0.75">
      <c r="A280" s="1" t="s">
        <v>521</v>
      </c>
      <c r="B280" s="706">
        <f>(B278)+(B279)</f>
        <v>0</v>
      </c>
    </row>
    <row r="281" spans="1:2" x14ac:dyDescent="0.75">
      <c r="A281" s="1" t="s">
        <v>522</v>
      </c>
      <c r="B281" s="706">
        <f>(0)-(B280)</f>
        <v>0</v>
      </c>
    </row>
    <row r="282" spans="1:2" x14ac:dyDescent="0.75">
      <c r="A282" s="1" t="s">
        <v>38</v>
      </c>
      <c r="B282" s="706">
        <f>(B276)+(B281)</f>
        <v>-211085.32999999984</v>
      </c>
    </row>
    <row r="283" spans="1:2" x14ac:dyDescent="0.75">
      <c r="A283" s="1"/>
      <c r="B283" s="705"/>
    </row>
    <row r="286" spans="1:2" x14ac:dyDescent="0.75">
      <c r="A286" s="802" t="s">
        <v>915</v>
      </c>
      <c r="B286" s="750"/>
    </row>
  </sheetData>
  <mergeCells count="4">
    <mergeCell ref="A1:B1"/>
    <mergeCell ref="A2:B2"/>
    <mergeCell ref="A3:B3"/>
    <mergeCell ref="A286:B2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94"/>
  <sheetViews>
    <sheetView topLeftCell="A76" zoomScale="80" zoomScaleNormal="80" workbookViewId="0">
      <selection activeCell="H65" activeCellId="1" sqref="H14 H65"/>
    </sheetView>
  </sheetViews>
  <sheetFormatPr defaultColWidth="8.6796875" defaultRowHeight="14.75" x14ac:dyDescent="0.75"/>
  <cols>
    <col min="1" max="1" width="55" style="688" customWidth="1"/>
    <col min="2" max="2" width="18" style="688" customWidth="1"/>
    <col min="3" max="3" width="15.5" style="688" customWidth="1"/>
    <col min="4" max="4" width="28.5" style="688" customWidth="1"/>
    <col min="5" max="5" width="85.81640625" style="688" hidden="1" customWidth="1"/>
    <col min="6" max="6" width="84.1796875" style="688" hidden="1" customWidth="1"/>
    <col min="7" max="7" width="11.1796875" style="688" customWidth="1"/>
    <col min="8" max="8" width="10.31640625" style="688" customWidth="1"/>
    <col min="9" max="9" width="8.5" style="688" customWidth="1"/>
    <col min="10" max="16384" width="8.6796875" style="688"/>
  </cols>
  <sheetData>
    <row r="1" spans="1:9" ht="18" x14ac:dyDescent="0.8">
      <c r="A1" s="749" t="s">
        <v>104</v>
      </c>
      <c r="B1" s="750"/>
      <c r="C1" s="750"/>
      <c r="D1" s="750"/>
      <c r="E1" s="750"/>
      <c r="F1" s="750"/>
      <c r="G1" s="750"/>
      <c r="H1" s="750"/>
      <c r="I1" s="750"/>
    </row>
    <row r="2" spans="1:9" ht="18" x14ac:dyDescent="0.8">
      <c r="A2" s="749" t="s">
        <v>666</v>
      </c>
      <c r="B2" s="750"/>
      <c r="C2" s="750"/>
      <c r="D2" s="750"/>
      <c r="E2" s="750"/>
      <c r="F2" s="750"/>
      <c r="G2" s="750"/>
      <c r="H2" s="750"/>
      <c r="I2" s="750"/>
    </row>
    <row r="3" spans="1:9" x14ac:dyDescent="0.75">
      <c r="A3" s="751" t="s">
        <v>872</v>
      </c>
      <c r="B3" s="750"/>
      <c r="C3" s="750"/>
      <c r="D3" s="750"/>
      <c r="E3" s="750"/>
      <c r="F3" s="750"/>
      <c r="G3" s="750"/>
      <c r="H3" s="750"/>
      <c r="I3" s="750"/>
    </row>
    <row r="5" spans="1:9" x14ac:dyDescent="0.75">
      <c r="B5" s="640" t="s">
        <v>667</v>
      </c>
      <c r="C5" s="640" t="s">
        <v>668</v>
      </c>
      <c r="D5" s="640" t="s">
        <v>669</v>
      </c>
      <c r="E5" s="640" t="s">
        <v>670</v>
      </c>
      <c r="F5" s="640" t="s">
        <v>671</v>
      </c>
      <c r="G5" s="640" t="s">
        <v>672</v>
      </c>
      <c r="H5" s="640" t="s">
        <v>673</v>
      </c>
      <c r="I5" s="640" t="s">
        <v>674</v>
      </c>
    </row>
    <row r="6" spans="1:9" x14ac:dyDescent="0.75">
      <c r="A6" s="636" t="s">
        <v>675</v>
      </c>
    </row>
    <row r="7" spans="1:9" x14ac:dyDescent="0.75">
      <c r="A7" s="636" t="s">
        <v>676</v>
      </c>
    </row>
    <row r="8" spans="1:9" x14ac:dyDescent="0.75">
      <c r="B8" s="690" t="s">
        <v>677</v>
      </c>
      <c r="I8" s="638">
        <v>10554.62</v>
      </c>
    </row>
    <row r="9" spans="1:9" x14ac:dyDescent="0.75">
      <c r="B9" s="690" t="s">
        <v>678</v>
      </c>
      <c r="C9" s="690" t="s">
        <v>679</v>
      </c>
      <c r="D9" s="690" t="s">
        <v>875</v>
      </c>
      <c r="E9" s="690" t="s">
        <v>680</v>
      </c>
      <c r="F9" s="690" t="s">
        <v>681</v>
      </c>
      <c r="G9" s="638">
        <v>1787.5</v>
      </c>
      <c r="H9" s="691"/>
      <c r="I9" s="638">
        <v>12342.12</v>
      </c>
    </row>
    <row r="10" spans="1:9" x14ac:dyDescent="0.75">
      <c r="B10" s="690" t="s">
        <v>678</v>
      </c>
      <c r="C10" s="690">
        <v>2019196</v>
      </c>
      <c r="D10" s="690"/>
      <c r="E10" s="690" t="s">
        <v>876</v>
      </c>
      <c r="F10" s="690" t="s">
        <v>681</v>
      </c>
      <c r="G10" s="638">
        <v>1296</v>
      </c>
      <c r="H10" s="691"/>
      <c r="I10" s="638">
        <v>13638.12</v>
      </c>
    </row>
    <row r="11" spans="1:9" x14ac:dyDescent="0.75">
      <c r="B11" s="690" t="s">
        <v>682</v>
      </c>
      <c r="C11" s="690" t="s">
        <v>683</v>
      </c>
      <c r="D11" s="690" t="s">
        <v>875</v>
      </c>
      <c r="E11" s="690" t="s">
        <v>684</v>
      </c>
      <c r="F11" s="690" t="s">
        <v>681</v>
      </c>
      <c r="G11" s="638">
        <v>1296</v>
      </c>
      <c r="H11" s="691"/>
      <c r="I11" s="638">
        <v>14934.12</v>
      </c>
    </row>
    <row r="12" spans="1:9" ht="22.25" x14ac:dyDescent="0.75">
      <c r="B12" s="690" t="s">
        <v>682</v>
      </c>
      <c r="C12" s="690" t="s">
        <v>685</v>
      </c>
      <c r="D12" s="690" t="s">
        <v>875</v>
      </c>
      <c r="E12" s="690" t="s">
        <v>686</v>
      </c>
      <c r="F12" s="690" t="s">
        <v>681</v>
      </c>
      <c r="G12" s="638">
        <v>1967.12</v>
      </c>
      <c r="H12" s="691"/>
      <c r="I12" s="638">
        <v>16901.240000000002</v>
      </c>
    </row>
    <row r="13" spans="1:9" x14ac:dyDescent="0.75">
      <c r="B13" s="690" t="s">
        <v>687</v>
      </c>
      <c r="C13" s="690"/>
      <c r="D13" s="690" t="s">
        <v>875</v>
      </c>
      <c r="E13" s="690" t="s">
        <v>688</v>
      </c>
      <c r="F13" s="690" t="s">
        <v>681</v>
      </c>
      <c r="G13" s="691"/>
      <c r="H13" s="638">
        <v>1967.12</v>
      </c>
      <c r="I13" s="638">
        <v>14934.12</v>
      </c>
    </row>
    <row r="14" spans="1:9" x14ac:dyDescent="0.75">
      <c r="A14" s="636" t="s">
        <v>689</v>
      </c>
      <c r="G14" s="639">
        <v>6346.62</v>
      </c>
      <c r="H14" s="639">
        <v>1967.12</v>
      </c>
    </row>
    <row r="15" spans="1:9" x14ac:dyDescent="0.75">
      <c r="A15" s="636" t="s">
        <v>690</v>
      </c>
    </row>
    <row r="16" spans="1:9" x14ac:dyDescent="0.75">
      <c r="B16" s="690" t="s">
        <v>691</v>
      </c>
      <c r="C16" s="690" t="s">
        <v>692</v>
      </c>
      <c r="D16" s="690"/>
      <c r="E16" s="690" t="s">
        <v>693</v>
      </c>
      <c r="F16" s="690" t="s">
        <v>694</v>
      </c>
      <c r="G16" s="691"/>
      <c r="H16" s="638">
        <v>974.01</v>
      </c>
      <c r="I16" s="638">
        <v>-974.01</v>
      </c>
    </row>
    <row r="17" spans="1:9" x14ac:dyDescent="0.75">
      <c r="B17" s="690" t="s">
        <v>695</v>
      </c>
      <c r="C17" s="690" t="s">
        <v>696</v>
      </c>
      <c r="D17" s="690"/>
      <c r="E17" s="690" t="s">
        <v>697</v>
      </c>
      <c r="F17" s="690" t="s">
        <v>694</v>
      </c>
      <c r="G17" s="691"/>
      <c r="H17" s="638">
        <v>248.9</v>
      </c>
      <c r="I17" s="638">
        <v>-1222.9100000000001</v>
      </c>
    </row>
    <row r="18" spans="1:9" x14ac:dyDescent="0.75">
      <c r="B18" s="690" t="s">
        <v>778</v>
      </c>
      <c r="C18" s="690">
        <v>2019169</v>
      </c>
      <c r="D18" s="690"/>
      <c r="E18" s="690" t="s">
        <v>877</v>
      </c>
      <c r="F18" s="690" t="s">
        <v>694</v>
      </c>
      <c r="G18" s="691"/>
      <c r="H18" s="638">
        <v>248.9</v>
      </c>
      <c r="I18" s="638">
        <v>-1471.81</v>
      </c>
    </row>
    <row r="19" spans="1:9" x14ac:dyDescent="0.75">
      <c r="B19" s="690" t="s">
        <v>878</v>
      </c>
      <c r="C19" s="690">
        <v>2019198</v>
      </c>
      <c r="D19" s="690"/>
      <c r="E19" s="690" t="s">
        <v>879</v>
      </c>
      <c r="F19" s="690" t="s">
        <v>694</v>
      </c>
      <c r="G19" s="691"/>
      <c r="H19" s="638">
        <v>248.9</v>
      </c>
      <c r="I19" s="638">
        <v>-1720.71</v>
      </c>
    </row>
    <row r="20" spans="1:9" x14ac:dyDescent="0.75">
      <c r="B20" s="690" t="s">
        <v>880</v>
      </c>
      <c r="C20" s="690">
        <v>2019233</v>
      </c>
      <c r="D20" s="690"/>
      <c r="E20" s="690" t="s">
        <v>881</v>
      </c>
      <c r="F20" s="690" t="s">
        <v>694</v>
      </c>
      <c r="G20" s="691"/>
      <c r="H20" s="638">
        <v>248.9</v>
      </c>
      <c r="I20" s="638">
        <v>-1969.61</v>
      </c>
    </row>
    <row r="21" spans="1:9" x14ac:dyDescent="0.75">
      <c r="A21" s="636" t="s">
        <v>698</v>
      </c>
      <c r="G21" s="639" t="s">
        <v>699</v>
      </c>
      <c r="H21" s="639">
        <v>1969.61</v>
      </c>
    </row>
    <row r="22" spans="1:9" x14ac:dyDescent="0.75">
      <c r="A22" s="636" t="s">
        <v>700</v>
      </c>
      <c r="G22" s="639">
        <v>6346.62</v>
      </c>
      <c r="H22" s="639">
        <v>3936.73</v>
      </c>
    </row>
    <row r="23" spans="1:9" x14ac:dyDescent="0.75">
      <c r="A23" s="636" t="s">
        <v>701</v>
      </c>
    </row>
    <row r="24" spans="1:9" x14ac:dyDescent="0.75">
      <c r="A24" s="636" t="s">
        <v>702</v>
      </c>
    </row>
    <row r="25" spans="1:9" x14ac:dyDescent="0.75">
      <c r="B25" s="690" t="s">
        <v>677</v>
      </c>
      <c r="I25" s="638">
        <v>15810.5</v>
      </c>
    </row>
    <row r="26" spans="1:9" ht="22.25" x14ac:dyDescent="0.75">
      <c r="B26" s="690" t="s">
        <v>682</v>
      </c>
      <c r="C26" s="690" t="s">
        <v>703</v>
      </c>
      <c r="D26" s="690" t="s">
        <v>875</v>
      </c>
      <c r="E26" s="690" t="s">
        <v>704</v>
      </c>
      <c r="F26" s="690" t="s">
        <v>705</v>
      </c>
      <c r="G26" s="638">
        <v>11010.5</v>
      </c>
      <c r="H26" s="691"/>
      <c r="I26" s="638">
        <v>26821</v>
      </c>
    </row>
    <row r="27" spans="1:9" x14ac:dyDescent="0.75">
      <c r="B27" s="690" t="s">
        <v>706</v>
      </c>
      <c r="C27" s="690">
        <v>80919</v>
      </c>
      <c r="D27" s="690" t="s">
        <v>707</v>
      </c>
      <c r="E27" s="690" t="s">
        <v>708</v>
      </c>
      <c r="F27" s="690" t="s">
        <v>705</v>
      </c>
      <c r="G27" s="638">
        <v>3865.47</v>
      </c>
      <c r="H27" s="691"/>
      <c r="I27" s="638">
        <v>30686.47</v>
      </c>
    </row>
    <row r="28" spans="1:9" x14ac:dyDescent="0.75">
      <c r="B28" s="690" t="s">
        <v>778</v>
      </c>
      <c r="C28" s="690" t="s">
        <v>779</v>
      </c>
      <c r="D28" s="690" t="s">
        <v>780</v>
      </c>
      <c r="E28" s="690" t="s">
        <v>781</v>
      </c>
      <c r="F28" s="690" t="s">
        <v>705</v>
      </c>
      <c r="G28" s="638">
        <v>12415.6</v>
      </c>
      <c r="H28" s="691"/>
      <c r="I28" s="638">
        <v>43102.07</v>
      </c>
    </row>
    <row r="29" spans="1:9" x14ac:dyDescent="0.75">
      <c r="A29" s="636" t="s">
        <v>709</v>
      </c>
      <c r="G29" s="639">
        <v>27291.57</v>
      </c>
      <c r="H29" s="639" t="s">
        <v>699</v>
      </c>
    </row>
    <row r="30" spans="1:9" x14ac:dyDescent="0.75">
      <c r="A30" s="636" t="s">
        <v>710</v>
      </c>
    </row>
    <row r="31" spans="1:9" x14ac:dyDescent="0.75">
      <c r="B31" s="690" t="s">
        <v>691</v>
      </c>
      <c r="C31" s="690" t="s">
        <v>692</v>
      </c>
      <c r="D31" s="690"/>
      <c r="E31" s="690" t="s">
        <v>693</v>
      </c>
      <c r="F31" s="690" t="s">
        <v>711</v>
      </c>
      <c r="G31" s="691"/>
      <c r="H31" s="638">
        <v>1549.9</v>
      </c>
      <c r="I31" s="638">
        <v>-1549.9</v>
      </c>
    </row>
    <row r="32" spans="1:9" x14ac:dyDescent="0.75">
      <c r="B32" s="690" t="s">
        <v>695</v>
      </c>
      <c r="C32" s="690" t="s">
        <v>696</v>
      </c>
      <c r="D32" s="690"/>
      <c r="E32" s="690" t="s">
        <v>697</v>
      </c>
      <c r="F32" s="690" t="s">
        <v>711</v>
      </c>
      <c r="G32" s="691"/>
      <c r="H32" s="638">
        <v>511.44</v>
      </c>
      <c r="I32" s="638">
        <v>-2061.34</v>
      </c>
    </row>
    <row r="33" spans="1:9" x14ac:dyDescent="0.75">
      <c r="B33" s="690" t="s">
        <v>778</v>
      </c>
      <c r="C33" s="690">
        <v>2019169</v>
      </c>
      <c r="D33" s="690"/>
      <c r="E33" s="690" t="s">
        <v>877</v>
      </c>
      <c r="F33" s="690" t="s">
        <v>711</v>
      </c>
      <c r="G33" s="691"/>
      <c r="H33" s="638">
        <v>511.44</v>
      </c>
      <c r="I33" s="638">
        <v>-2572.7800000000002</v>
      </c>
    </row>
    <row r="34" spans="1:9" x14ac:dyDescent="0.75">
      <c r="B34" s="690" t="s">
        <v>878</v>
      </c>
      <c r="C34" s="690">
        <v>2019198</v>
      </c>
      <c r="D34" s="690"/>
      <c r="E34" s="690" t="s">
        <v>879</v>
      </c>
      <c r="F34" s="690" t="s">
        <v>711</v>
      </c>
      <c r="G34" s="691"/>
      <c r="H34" s="638">
        <v>718.37</v>
      </c>
      <c r="I34" s="638">
        <v>-3291.15</v>
      </c>
    </row>
    <row r="35" spans="1:9" x14ac:dyDescent="0.75">
      <c r="B35" s="690" t="s">
        <v>880</v>
      </c>
      <c r="C35" s="690">
        <v>2019233</v>
      </c>
      <c r="D35" s="690"/>
      <c r="E35" s="690" t="s">
        <v>881</v>
      </c>
      <c r="F35" s="690" t="s">
        <v>711</v>
      </c>
      <c r="G35" s="691"/>
      <c r="H35" s="638">
        <v>718.37</v>
      </c>
      <c r="I35" s="638">
        <v>-4009.52</v>
      </c>
    </row>
    <row r="36" spans="1:9" x14ac:dyDescent="0.75">
      <c r="A36" s="636" t="s">
        <v>712</v>
      </c>
      <c r="G36" s="639" t="s">
        <v>699</v>
      </c>
      <c r="H36" s="639">
        <v>4009.52</v>
      </c>
    </row>
    <row r="37" spans="1:9" x14ac:dyDescent="0.75">
      <c r="A37" s="636" t="s">
        <v>713</v>
      </c>
      <c r="G37" s="639">
        <v>27291.57</v>
      </c>
      <c r="H37" s="639">
        <v>4009.52</v>
      </c>
    </row>
    <row r="38" spans="1:9" x14ac:dyDescent="0.75">
      <c r="A38" s="636" t="s">
        <v>714</v>
      </c>
    </row>
    <row r="39" spans="1:9" x14ac:dyDescent="0.75">
      <c r="A39" s="636" t="s">
        <v>715</v>
      </c>
    </row>
    <row r="40" spans="1:9" x14ac:dyDescent="0.75">
      <c r="B40" s="690" t="s">
        <v>678</v>
      </c>
      <c r="C40" s="690">
        <v>2019197</v>
      </c>
      <c r="D40" s="690"/>
      <c r="E40" s="690" t="s">
        <v>718</v>
      </c>
      <c r="F40" s="690" t="s">
        <v>719</v>
      </c>
      <c r="G40" s="638">
        <v>1122.5</v>
      </c>
      <c r="H40" s="691"/>
      <c r="I40" s="638">
        <v>1122.5</v>
      </c>
    </row>
    <row r="41" spans="1:9" x14ac:dyDescent="0.75">
      <c r="B41" s="690" t="s">
        <v>678</v>
      </c>
      <c r="C41" s="690">
        <v>2019197</v>
      </c>
      <c r="D41" s="690"/>
      <c r="E41" s="690" t="s">
        <v>720</v>
      </c>
      <c r="F41" s="690" t="s">
        <v>719</v>
      </c>
      <c r="G41" s="638">
        <v>5200</v>
      </c>
      <c r="H41" s="691"/>
      <c r="I41" s="638">
        <v>6322.5</v>
      </c>
    </row>
    <row r="42" spans="1:9" x14ac:dyDescent="0.75">
      <c r="B42" s="690" t="s">
        <v>716</v>
      </c>
      <c r="C42" s="690">
        <v>10781</v>
      </c>
      <c r="D42" s="690" t="s">
        <v>717</v>
      </c>
      <c r="E42" s="690" t="s">
        <v>718</v>
      </c>
      <c r="F42" s="690" t="s">
        <v>719</v>
      </c>
      <c r="G42" s="638">
        <v>1122.5</v>
      </c>
      <c r="H42" s="691"/>
      <c r="I42" s="638">
        <v>7445</v>
      </c>
    </row>
    <row r="43" spans="1:9" x14ac:dyDescent="0.75">
      <c r="B43" s="690" t="s">
        <v>716</v>
      </c>
      <c r="C43" s="690">
        <v>10781</v>
      </c>
      <c r="D43" s="690" t="s">
        <v>717</v>
      </c>
      <c r="E43" s="690" t="s">
        <v>720</v>
      </c>
      <c r="F43" s="690" t="s">
        <v>719</v>
      </c>
      <c r="G43" s="638">
        <v>5200</v>
      </c>
      <c r="H43" s="691"/>
      <c r="I43" s="638">
        <v>12645</v>
      </c>
    </row>
    <row r="44" spans="1:9" x14ac:dyDescent="0.75">
      <c r="A44" s="636" t="s">
        <v>721</v>
      </c>
      <c r="G44" s="639">
        <v>12645</v>
      </c>
      <c r="H44" s="639" t="s">
        <v>699</v>
      </c>
    </row>
    <row r="45" spans="1:9" x14ac:dyDescent="0.75">
      <c r="A45" s="636" t="s">
        <v>722</v>
      </c>
    </row>
    <row r="46" spans="1:9" x14ac:dyDescent="0.75">
      <c r="B46" s="690" t="s">
        <v>723</v>
      </c>
      <c r="C46" s="690"/>
      <c r="D46" s="690" t="s">
        <v>724</v>
      </c>
      <c r="E46" s="690" t="s">
        <v>725</v>
      </c>
      <c r="F46" s="690" t="s">
        <v>726</v>
      </c>
      <c r="G46" s="638">
        <v>18219.150000000001</v>
      </c>
      <c r="H46" s="691"/>
      <c r="I46" s="638">
        <v>18219.150000000001</v>
      </c>
    </row>
    <row r="47" spans="1:9" x14ac:dyDescent="0.75">
      <c r="A47" s="636" t="s">
        <v>727</v>
      </c>
      <c r="G47" s="639">
        <v>18219.150000000001</v>
      </c>
      <c r="H47" s="639" t="s">
        <v>699</v>
      </c>
    </row>
    <row r="48" spans="1:9" x14ac:dyDescent="0.75">
      <c r="A48" s="636" t="s">
        <v>728</v>
      </c>
    </row>
    <row r="49" spans="1:9" x14ac:dyDescent="0.75">
      <c r="B49" s="690" t="s">
        <v>716</v>
      </c>
      <c r="C49" s="690" t="s">
        <v>729</v>
      </c>
      <c r="D49" s="690" t="s">
        <v>717</v>
      </c>
      <c r="E49" s="690" t="s">
        <v>730</v>
      </c>
      <c r="F49" s="690" t="s">
        <v>731</v>
      </c>
      <c r="G49" s="638">
        <v>1705</v>
      </c>
      <c r="H49" s="691"/>
      <c r="I49" s="638">
        <v>1705</v>
      </c>
    </row>
    <row r="50" spans="1:9" x14ac:dyDescent="0.75">
      <c r="A50" s="636" t="s">
        <v>732</v>
      </c>
      <c r="G50" s="639">
        <v>1705</v>
      </c>
      <c r="H50" s="639" t="s">
        <v>699</v>
      </c>
    </row>
    <row r="51" spans="1:9" x14ac:dyDescent="0.75">
      <c r="A51" s="636" t="s">
        <v>733</v>
      </c>
    </row>
    <row r="52" spans="1:9" x14ac:dyDescent="0.75">
      <c r="B52" s="690" t="s">
        <v>678</v>
      </c>
      <c r="C52" s="690">
        <v>2019197</v>
      </c>
      <c r="D52" s="690"/>
      <c r="E52" s="690" t="s">
        <v>759</v>
      </c>
      <c r="F52" s="690" t="s">
        <v>735</v>
      </c>
      <c r="G52" s="638">
        <v>3705</v>
      </c>
      <c r="H52" s="691"/>
      <c r="I52" s="638">
        <v>3705</v>
      </c>
    </row>
    <row r="53" spans="1:9" x14ac:dyDescent="0.75">
      <c r="B53" s="690" t="s">
        <v>716</v>
      </c>
      <c r="C53" s="690">
        <v>10781</v>
      </c>
      <c r="D53" s="690" t="s">
        <v>717</v>
      </c>
      <c r="E53" s="690" t="s">
        <v>759</v>
      </c>
      <c r="F53" s="690" t="s">
        <v>735</v>
      </c>
      <c r="G53" s="638">
        <v>3705</v>
      </c>
      <c r="H53" s="691"/>
      <c r="I53" s="638">
        <v>7410</v>
      </c>
    </row>
    <row r="54" spans="1:9" x14ac:dyDescent="0.75">
      <c r="B54" s="690" t="s">
        <v>716</v>
      </c>
      <c r="C54" s="690" t="s">
        <v>729</v>
      </c>
      <c r="D54" s="690" t="s">
        <v>717</v>
      </c>
      <c r="E54" s="690" t="s">
        <v>734</v>
      </c>
      <c r="F54" s="690" t="s">
        <v>735</v>
      </c>
      <c r="G54" s="638">
        <v>2000</v>
      </c>
      <c r="H54" s="691"/>
      <c r="I54" s="638">
        <v>9410</v>
      </c>
    </row>
    <row r="55" spans="1:9" x14ac:dyDescent="0.75">
      <c r="A55" s="636" t="s">
        <v>736</v>
      </c>
      <c r="G55" s="639">
        <v>9410</v>
      </c>
      <c r="H55" s="639" t="s">
        <v>699</v>
      </c>
    </row>
    <row r="56" spans="1:9" x14ac:dyDescent="0.75">
      <c r="A56" s="636" t="s">
        <v>737</v>
      </c>
    </row>
    <row r="57" spans="1:9" x14ac:dyDescent="0.75">
      <c r="B57" s="690" t="s">
        <v>716</v>
      </c>
      <c r="C57" s="690" t="s">
        <v>729</v>
      </c>
      <c r="D57" s="690" t="s">
        <v>717</v>
      </c>
      <c r="E57" s="690" t="s">
        <v>738</v>
      </c>
      <c r="F57" s="690" t="s">
        <v>739</v>
      </c>
      <c r="G57" s="638">
        <v>9245</v>
      </c>
      <c r="H57" s="691"/>
      <c r="I57" s="638">
        <v>9245</v>
      </c>
    </row>
    <row r="58" spans="1:9" x14ac:dyDescent="0.75">
      <c r="A58" s="636" t="s">
        <v>740</v>
      </c>
      <c r="G58" s="639">
        <v>9245</v>
      </c>
      <c r="H58" s="639" t="s">
        <v>699</v>
      </c>
    </row>
    <row r="59" spans="1:9" x14ac:dyDescent="0.75">
      <c r="A59" s="636" t="s">
        <v>741</v>
      </c>
    </row>
    <row r="60" spans="1:9" x14ac:dyDescent="0.75">
      <c r="B60" s="690" t="s">
        <v>677</v>
      </c>
      <c r="I60" s="638">
        <v>21082.5</v>
      </c>
    </row>
    <row r="61" spans="1:9" x14ac:dyDescent="0.75">
      <c r="B61" s="690" t="s">
        <v>678</v>
      </c>
      <c r="C61" s="690">
        <v>2019197</v>
      </c>
      <c r="D61" s="690"/>
      <c r="E61" s="690" t="s">
        <v>882</v>
      </c>
      <c r="F61" s="690" t="s">
        <v>743</v>
      </c>
      <c r="G61" s="691"/>
      <c r="H61" s="638">
        <v>11232.5</v>
      </c>
      <c r="I61" s="638">
        <v>9850</v>
      </c>
    </row>
    <row r="62" spans="1:9" x14ac:dyDescent="0.75">
      <c r="B62" s="690" t="s">
        <v>678</v>
      </c>
      <c r="C62" s="690">
        <v>2019197</v>
      </c>
      <c r="D62" s="690"/>
      <c r="E62" s="690" t="s">
        <v>744</v>
      </c>
      <c r="F62" s="690" t="s">
        <v>743</v>
      </c>
      <c r="G62" s="638">
        <v>922.5</v>
      </c>
      <c r="H62" s="691"/>
      <c r="I62" s="638">
        <v>10772.5</v>
      </c>
    </row>
    <row r="63" spans="1:9" x14ac:dyDescent="0.75">
      <c r="B63" s="690" t="s">
        <v>716</v>
      </c>
      <c r="C63" s="690">
        <v>10782</v>
      </c>
      <c r="D63" s="690" t="s">
        <v>717</v>
      </c>
      <c r="E63" s="690" t="s">
        <v>742</v>
      </c>
      <c r="F63" s="690" t="s">
        <v>743</v>
      </c>
      <c r="G63" s="638">
        <v>9310</v>
      </c>
      <c r="H63" s="691"/>
      <c r="I63" s="638">
        <v>20082.5</v>
      </c>
    </row>
    <row r="64" spans="1:9" x14ac:dyDescent="0.75">
      <c r="B64" s="690" t="s">
        <v>716</v>
      </c>
      <c r="C64" s="690">
        <v>10781</v>
      </c>
      <c r="D64" s="690" t="s">
        <v>717</v>
      </c>
      <c r="E64" s="690" t="s">
        <v>744</v>
      </c>
      <c r="F64" s="690" t="s">
        <v>743</v>
      </c>
      <c r="G64" s="638">
        <v>922.5</v>
      </c>
      <c r="H64" s="691"/>
      <c r="I64" s="638">
        <v>21005</v>
      </c>
    </row>
    <row r="65" spans="1:9" x14ac:dyDescent="0.75">
      <c r="A65" s="636" t="s">
        <v>745</v>
      </c>
      <c r="G65" s="639">
        <v>11155</v>
      </c>
      <c r="H65" s="639">
        <v>11232.5</v>
      </c>
    </row>
    <row r="66" spans="1:9" x14ac:dyDescent="0.75">
      <c r="A66" s="636" t="s">
        <v>746</v>
      </c>
    </row>
    <row r="67" spans="1:9" x14ac:dyDescent="0.75">
      <c r="B67" s="690" t="s">
        <v>747</v>
      </c>
      <c r="C67" s="690">
        <v>81719</v>
      </c>
      <c r="D67" s="690" t="s">
        <v>748</v>
      </c>
      <c r="E67" s="690" t="s">
        <v>749</v>
      </c>
      <c r="F67" s="690" t="s">
        <v>750</v>
      </c>
      <c r="G67" s="638">
        <v>6696</v>
      </c>
      <c r="H67" s="691"/>
      <c r="I67" s="638">
        <v>6696</v>
      </c>
    </row>
    <row r="68" spans="1:9" x14ac:dyDescent="0.75">
      <c r="B68" s="690" t="s">
        <v>751</v>
      </c>
      <c r="C68" s="690" t="s">
        <v>752</v>
      </c>
      <c r="D68" s="690" t="s">
        <v>748</v>
      </c>
      <c r="E68" s="690" t="s">
        <v>753</v>
      </c>
      <c r="F68" s="690" t="s">
        <v>750</v>
      </c>
      <c r="G68" s="638">
        <v>7042</v>
      </c>
      <c r="H68" s="691"/>
      <c r="I68" s="638">
        <v>13738</v>
      </c>
    </row>
    <row r="69" spans="1:9" x14ac:dyDescent="0.75">
      <c r="A69" s="636" t="s">
        <v>754</v>
      </c>
      <c r="G69" s="639">
        <v>13738</v>
      </c>
      <c r="H69" s="639" t="s">
        <v>699</v>
      </c>
    </row>
    <row r="70" spans="1:9" x14ac:dyDescent="0.75">
      <c r="A70" s="636" t="s">
        <v>755</v>
      </c>
    </row>
    <row r="71" spans="1:9" x14ac:dyDescent="0.75">
      <c r="B71" s="690" t="s">
        <v>678</v>
      </c>
      <c r="C71" s="690">
        <v>10062022</v>
      </c>
      <c r="D71" s="690" t="s">
        <v>756</v>
      </c>
      <c r="E71" s="690" t="s">
        <v>757</v>
      </c>
      <c r="F71" s="690" t="s">
        <v>758</v>
      </c>
      <c r="G71" s="638">
        <v>15615</v>
      </c>
      <c r="H71" s="691"/>
      <c r="I71" s="638">
        <v>15615</v>
      </c>
    </row>
    <row r="72" spans="1:9" x14ac:dyDescent="0.75">
      <c r="A72" s="636" t="s">
        <v>760</v>
      </c>
      <c r="G72" s="639">
        <v>15615</v>
      </c>
      <c r="H72" s="639" t="s">
        <v>699</v>
      </c>
    </row>
    <row r="73" spans="1:9" x14ac:dyDescent="0.75">
      <c r="A73" s="636" t="s">
        <v>761</v>
      </c>
    </row>
    <row r="74" spans="1:9" x14ac:dyDescent="0.75">
      <c r="B74" s="690" t="s">
        <v>691</v>
      </c>
      <c r="C74" s="690" t="s">
        <v>692</v>
      </c>
      <c r="D74" s="690"/>
      <c r="E74" s="690" t="s">
        <v>693</v>
      </c>
      <c r="F74" s="690" t="s">
        <v>762</v>
      </c>
      <c r="G74" s="691"/>
      <c r="H74" s="638">
        <v>6573.31</v>
      </c>
      <c r="I74" s="638">
        <v>-6573.31</v>
      </c>
    </row>
    <row r="75" spans="1:9" x14ac:dyDescent="0.75">
      <c r="B75" s="690" t="s">
        <v>695</v>
      </c>
      <c r="C75" s="690" t="s">
        <v>696</v>
      </c>
      <c r="D75" s="690"/>
      <c r="E75" s="690" t="s">
        <v>697</v>
      </c>
      <c r="F75" s="690" t="s">
        <v>762</v>
      </c>
      <c r="G75" s="691"/>
      <c r="H75" s="638">
        <v>2435.69</v>
      </c>
      <c r="I75" s="638">
        <v>-9009</v>
      </c>
    </row>
    <row r="76" spans="1:9" x14ac:dyDescent="0.75">
      <c r="B76" s="690" t="s">
        <v>778</v>
      </c>
      <c r="C76" s="690">
        <v>2019169</v>
      </c>
      <c r="D76" s="690"/>
      <c r="E76" s="690" t="s">
        <v>877</v>
      </c>
      <c r="F76" s="690" t="s">
        <v>762</v>
      </c>
      <c r="G76" s="691"/>
      <c r="H76" s="638">
        <v>2435.69</v>
      </c>
      <c r="I76" s="638">
        <v>-11444.69</v>
      </c>
    </row>
    <row r="77" spans="1:9" x14ac:dyDescent="0.75">
      <c r="B77" s="690" t="s">
        <v>878</v>
      </c>
      <c r="C77" s="690">
        <v>2019198</v>
      </c>
      <c r="D77" s="690"/>
      <c r="E77" s="690" t="s">
        <v>879</v>
      </c>
      <c r="F77" s="690" t="s">
        <v>762</v>
      </c>
      <c r="G77" s="691"/>
      <c r="H77" s="638">
        <v>2435.69</v>
      </c>
      <c r="I77" s="638">
        <v>-13880.38</v>
      </c>
    </row>
    <row r="78" spans="1:9" x14ac:dyDescent="0.75">
      <c r="B78" s="690" t="s">
        <v>880</v>
      </c>
      <c r="C78" s="690">
        <v>2019233</v>
      </c>
      <c r="D78" s="690"/>
      <c r="E78" s="690" t="s">
        <v>881</v>
      </c>
      <c r="F78" s="690" t="s">
        <v>762</v>
      </c>
      <c r="G78" s="691"/>
      <c r="H78" s="638">
        <v>2435.69</v>
      </c>
      <c r="I78" s="638">
        <v>-16316.07</v>
      </c>
    </row>
    <row r="79" spans="1:9" x14ac:dyDescent="0.75">
      <c r="A79" s="636" t="s">
        <v>763</v>
      </c>
      <c r="G79" s="639" t="s">
        <v>699</v>
      </c>
      <c r="H79" s="639">
        <v>16316.07</v>
      </c>
    </row>
    <row r="80" spans="1:9" x14ac:dyDescent="0.75">
      <c r="A80" s="636" t="s">
        <v>764</v>
      </c>
      <c r="G80" s="639">
        <v>91732.15</v>
      </c>
      <c r="H80" s="639">
        <v>27548.57</v>
      </c>
    </row>
    <row r="81" spans="1:9" x14ac:dyDescent="0.75">
      <c r="A81" s="636" t="s">
        <v>883</v>
      </c>
    </row>
    <row r="82" spans="1:9" x14ac:dyDescent="0.75">
      <c r="A82" s="636" t="s">
        <v>884</v>
      </c>
    </row>
    <row r="83" spans="1:9" x14ac:dyDescent="0.75">
      <c r="B83" s="690" t="s">
        <v>885</v>
      </c>
      <c r="C83" s="690">
        <v>1022020</v>
      </c>
      <c r="D83" s="690" t="s">
        <v>756</v>
      </c>
      <c r="E83" s="690" t="s">
        <v>886</v>
      </c>
      <c r="F83" s="690" t="s">
        <v>887</v>
      </c>
      <c r="G83" s="638">
        <v>79500</v>
      </c>
      <c r="H83" s="691"/>
      <c r="I83" s="638">
        <v>79500</v>
      </c>
    </row>
    <row r="84" spans="1:9" x14ac:dyDescent="0.75">
      <c r="B84" s="690" t="s">
        <v>880</v>
      </c>
      <c r="C84" s="690">
        <v>22919</v>
      </c>
      <c r="D84" s="690" t="s">
        <v>756</v>
      </c>
      <c r="E84" s="690" t="s">
        <v>888</v>
      </c>
      <c r="F84" s="690" t="s">
        <v>887</v>
      </c>
      <c r="G84" s="638">
        <v>19875</v>
      </c>
      <c r="H84" s="691"/>
      <c r="I84" s="638">
        <v>99375</v>
      </c>
    </row>
    <row r="85" spans="1:9" x14ac:dyDescent="0.75">
      <c r="A85" s="636" t="s">
        <v>889</v>
      </c>
      <c r="G85" s="639">
        <v>99375</v>
      </c>
      <c r="H85" s="639" t="s">
        <v>699</v>
      </c>
    </row>
    <row r="86" spans="1:9" x14ac:dyDescent="0.75">
      <c r="A86" s="636" t="s">
        <v>890</v>
      </c>
    </row>
    <row r="87" spans="1:9" x14ac:dyDescent="0.75">
      <c r="B87" s="690" t="s">
        <v>878</v>
      </c>
      <c r="C87" s="690">
        <v>2019198</v>
      </c>
      <c r="D87" s="690"/>
      <c r="E87" s="690" t="s">
        <v>879</v>
      </c>
      <c r="F87" s="690" t="s">
        <v>891</v>
      </c>
      <c r="G87" s="691"/>
      <c r="H87" s="638">
        <v>456.9</v>
      </c>
      <c r="I87" s="638">
        <v>-456.9</v>
      </c>
    </row>
    <row r="88" spans="1:9" x14ac:dyDescent="0.75">
      <c r="B88" s="690" t="s">
        <v>880</v>
      </c>
      <c r="C88" s="690">
        <v>2019233</v>
      </c>
      <c r="D88" s="690"/>
      <c r="E88" s="690" t="s">
        <v>881</v>
      </c>
      <c r="F88" s="690" t="s">
        <v>891</v>
      </c>
      <c r="G88" s="691"/>
      <c r="H88" s="638">
        <v>456.9</v>
      </c>
      <c r="I88" s="638">
        <v>-913.8</v>
      </c>
    </row>
    <row r="89" spans="1:9" x14ac:dyDescent="0.75">
      <c r="A89" s="636" t="s">
        <v>892</v>
      </c>
      <c r="G89" s="639" t="s">
        <v>699</v>
      </c>
      <c r="H89" s="639">
        <v>913.8</v>
      </c>
    </row>
    <row r="90" spans="1:9" x14ac:dyDescent="0.75">
      <c r="A90" s="636" t="s">
        <v>893</v>
      </c>
      <c r="G90" s="639">
        <v>99375</v>
      </c>
      <c r="H90" s="639">
        <v>913.8</v>
      </c>
    </row>
    <row r="91" spans="1:9" x14ac:dyDescent="0.75">
      <c r="A91" s="636" t="s">
        <v>765</v>
      </c>
      <c r="G91" s="639">
        <v>224745.34</v>
      </c>
      <c r="H91" s="639">
        <v>36408.620000000003</v>
      </c>
    </row>
    <row r="94" spans="1:9" x14ac:dyDescent="0.75">
      <c r="A94" s="752" t="s">
        <v>894</v>
      </c>
      <c r="B94" s="750"/>
      <c r="C94" s="750"/>
      <c r="D94" s="750"/>
      <c r="E94" s="750"/>
      <c r="F94" s="750"/>
      <c r="G94" s="750"/>
      <c r="H94" s="750"/>
      <c r="I94" s="750"/>
    </row>
  </sheetData>
  <mergeCells count="4">
    <mergeCell ref="A94:I94"/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Indicators</vt:lpstr>
      <vt:lpstr>Balance Sheet</vt:lpstr>
      <vt:lpstr>BS-QB</vt:lpstr>
      <vt:lpstr>P&amp;L Summary</vt:lpstr>
      <vt:lpstr>Budget Vs. Actuals Detail</vt:lpstr>
      <vt:lpstr>Forecast</vt:lpstr>
      <vt:lpstr>Salaries</vt:lpstr>
      <vt:lpstr>P&amp;L (QB)</vt:lpstr>
      <vt:lpstr>Transaction Report</vt:lpstr>
      <vt:lpstr>Key Findings</vt:lpstr>
      <vt:lpstr>P&amp;L Detailed</vt:lpstr>
      <vt:lpstr>Benefits</vt:lpstr>
      <vt:lpstr>List</vt:lpstr>
      <vt:lpstr>'Balance Sheet'!Print_Area</vt:lpstr>
      <vt:lpstr>'Budget Vs. Actuals Detail'!Print_Area</vt:lpstr>
      <vt:lpstr>Forecast!Print_Area</vt:lpstr>
      <vt:lpstr>'P&amp;L Detailed'!Print_Area</vt:lpstr>
      <vt:lpstr>'Budget Vs. Actuals Detail'!Print_Titles</vt:lpstr>
      <vt:lpstr>Forecast!Print_Titles</vt:lpstr>
      <vt:lpstr>'P&amp;L Detailed'!Print_Titles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2020-03-05T18:26:50Z</cp:lastPrinted>
  <dcterms:created xsi:type="dcterms:W3CDTF">2017-11-22T00:21:30Z</dcterms:created>
  <dcterms:modified xsi:type="dcterms:W3CDTF">2020-03-18T22:59:52Z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