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nycourts-my.sharepoint.com/personal/mmichael_nycourts_gov/Documents/IHP Board Meeting Docs Jun 2019 - June 2020/"/>
    </mc:Choice>
  </mc:AlternateContent>
  <xr:revisionPtr revIDLastSave="0" documentId="8_{CABBB72A-27AF-42FD-9C9C-5050383D6E96}" xr6:coauthVersionLast="44" xr6:coauthVersionMax="44" xr10:uidLastSave="{00000000-0000-0000-0000-000000000000}"/>
  <bookViews>
    <workbookView xWindow="-93" yWindow="-93" windowWidth="18426" windowHeight="11746" activeTab="3" xr2:uid="{00000000-000D-0000-FFFF-FFFF00000000}"/>
  </bookViews>
  <sheets>
    <sheet name="Summary" sheetId="20" r:id="rId1"/>
    <sheet name="Budget Detail" sheetId="1" r:id="rId2"/>
    <sheet name="Cashflow" sheetId="9" state="hidden" r:id="rId3"/>
    <sheet name="Sept YTD" sheetId="23" r:id="rId4"/>
    <sheet name="Balance Sheet" sheetId="18" r:id="rId5"/>
    <sheet name="Support==&gt;" sheetId="21" r:id="rId6"/>
    <sheet name="CSP" sheetId="16" r:id="rId7"/>
    <sheet name="Enrollment" sheetId="2" r:id="rId8"/>
    <sheet name="Staffing Detail" sheetId="3" r:id="rId9"/>
    <sheet name="Relay" sheetId="8" state="hidden" r:id="rId10"/>
    <sheet name="School Food" sheetId="4" state="hidden" r:id="rId11"/>
    <sheet name="Benefits (Little Bird)" sheetId="17" r:id="rId12"/>
    <sheet name="Little Bird" sheetId="6" state="hidden" r:id="rId13"/>
    <sheet name="Deferred Rent" sheetId="7" r:id="rId14"/>
    <sheet name="Furniture" sheetId="10" state="hidden" r:id="rId15"/>
    <sheet name="Furniture Y2" sheetId="11" state="hidden" r:id="rId16"/>
    <sheet name="Equipment" sheetId="12" state="hidden" r:id="rId17"/>
    <sheet name="Nurse" sheetId="14" state="hidden" r:id="rId18"/>
    <sheet name="Cash Flow" sheetId="19" r:id="rId19"/>
    <sheet name="Sheet2" sheetId="5" state="hidden" r:id="rId20"/>
  </sheets>
  <definedNames>
    <definedName name="_xlnm.Print_Area" localSheetId="1">'Budget Detail'!$A$1:$Q$263</definedName>
    <definedName name="_xlnm.Print_Area" localSheetId="12">'Little Bird'!$A$1:$K$32</definedName>
    <definedName name="_xlnm.Print_Area" localSheetId="3">'Sept YTD'!$A$1:$K$67</definedName>
    <definedName name="_xlnm.Print_Area" localSheetId="0">Summary!$A$1:$J$67</definedName>
    <definedName name="_xlnm.Print_Titles" localSheetId="11">'Benefits (Little Bird)'!$1:$2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4" i="1" l="1"/>
  <c r="G142" i="1"/>
  <c r="E259" i="1" l="1"/>
  <c r="D10" i="23"/>
  <c r="F59" i="23"/>
  <c r="F58" i="23"/>
  <c r="F57" i="23"/>
  <c r="F51" i="23"/>
  <c r="F50" i="23"/>
  <c r="F39" i="23"/>
  <c r="F29" i="23"/>
  <c r="F12" i="23"/>
  <c r="F9" i="23"/>
  <c r="K6" i="23"/>
  <c r="K5" i="23"/>
  <c r="K4" i="23"/>
  <c r="D62" i="23"/>
  <c r="D61" i="23"/>
  <c r="F61" i="23" s="1"/>
  <c r="D60" i="23"/>
  <c r="D59" i="23"/>
  <c r="D58" i="23"/>
  <c r="D57" i="23"/>
  <c r="D56" i="23"/>
  <c r="F56" i="23" s="1"/>
  <c r="D55" i="23"/>
  <c r="F55" i="23" s="1"/>
  <c r="D54" i="23"/>
  <c r="D53" i="23"/>
  <c r="F53" i="23" s="1"/>
  <c r="D52" i="23"/>
  <c r="D51" i="23"/>
  <c r="D50" i="23"/>
  <c r="D46" i="23"/>
  <c r="F46" i="23" s="1"/>
  <c r="D45" i="23"/>
  <c r="F45" i="23" s="1"/>
  <c r="D44" i="23"/>
  <c r="D43" i="23"/>
  <c r="F43" i="23" s="1"/>
  <c r="D42" i="23"/>
  <c r="D41" i="23"/>
  <c r="D40" i="23"/>
  <c r="D39" i="23"/>
  <c r="D38" i="23"/>
  <c r="F38" i="23" s="1"/>
  <c r="D37" i="23"/>
  <c r="F37" i="23" s="1"/>
  <c r="D33" i="23"/>
  <c r="F33" i="23" s="1"/>
  <c r="D32" i="23"/>
  <c r="D31" i="23"/>
  <c r="D30" i="23"/>
  <c r="D29" i="23"/>
  <c r="D28" i="23"/>
  <c r="F28" i="23" s="1"/>
  <c r="D27" i="23"/>
  <c r="F27" i="23" s="1"/>
  <c r="D26" i="23"/>
  <c r="D22" i="23"/>
  <c r="D21" i="23"/>
  <c r="D20" i="23"/>
  <c r="D19" i="23"/>
  <c r="D7" i="23"/>
  <c r="F7" i="23" s="1"/>
  <c r="D8" i="23"/>
  <c r="F8" i="23" s="1"/>
  <c r="D9" i="23"/>
  <c r="F10" i="23"/>
  <c r="D11" i="23"/>
  <c r="F11" i="23" s="1"/>
  <c r="D12" i="23"/>
  <c r="D13" i="23"/>
  <c r="F13" i="23" s="1"/>
  <c r="D14" i="23"/>
  <c r="F14" i="23" s="1"/>
  <c r="D15" i="23"/>
  <c r="F15" i="23" s="1"/>
  <c r="D4" i="23"/>
  <c r="F4" i="23" s="1"/>
  <c r="E62" i="23"/>
  <c r="F62" i="23" s="1"/>
  <c r="E61" i="23"/>
  <c r="E60" i="23"/>
  <c r="F60" i="23" s="1"/>
  <c r="E59" i="23"/>
  <c r="E58" i="23"/>
  <c r="E57" i="23"/>
  <c r="E56" i="23"/>
  <c r="E55" i="23"/>
  <c r="E54" i="23"/>
  <c r="F54" i="23" s="1"/>
  <c r="E53" i="23"/>
  <c r="E52" i="23"/>
  <c r="G52" i="23" s="1"/>
  <c r="E51" i="23"/>
  <c r="E50" i="23"/>
  <c r="E46" i="23"/>
  <c r="E45" i="23"/>
  <c r="E44" i="23"/>
  <c r="E43" i="23"/>
  <c r="E42" i="23"/>
  <c r="F42" i="23" s="1"/>
  <c r="E41" i="23"/>
  <c r="G41" i="23" s="1"/>
  <c r="E40" i="23"/>
  <c r="G40" i="23" s="1"/>
  <c r="E39" i="23"/>
  <c r="E38" i="23"/>
  <c r="E37" i="23"/>
  <c r="E33" i="23"/>
  <c r="E32" i="23"/>
  <c r="F32" i="23" s="1"/>
  <c r="E31" i="23"/>
  <c r="F31" i="23" s="1"/>
  <c r="E30" i="23"/>
  <c r="F30" i="23" s="1"/>
  <c r="E29" i="23"/>
  <c r="G29" i="23" s="1"/>
  <c r="E28" i="23"/>
  <c r="E27" i="23"/>
  <c r="E20" i="23"/>
  <c r="F20" i="23" s="1"/>
  <c r="E19" i="23"/>
  <c r="G19" i="23" s="1"/>
  <c r="E15" i="23"/>
  <c r="G15" i="23" s="1"/>
  <c r="E14" i="23"/>
  <c r="E13" i="23"/>
  <c r="G13" i="23" s="1"/>
  <c r="E12" i="23"/>
  <c r="E11" i="23"/>
  <c r="E10" i="23"/>
  <c r="E9" i="23"/>
  <c r="E8" i="23"/>
  <c r="G8" i="23" s="1"/>
  <c r="E7" i="23"/>
  <c r="G7" i="23" s="1"/>
  <c r="E4" i="23"/>
  <c r="G4" i="23" s="1"/>
  <c r="F44" i="23" l="1"/>
  <c r="F40" i="23"/>
  <c r="F52" i="23"/>
  <c r="F41" i="23"/>
  <c r="G37" i="23"/>
  <c r="G45" i="23"/>
  <c r="F19" i="23"/>
  <c r="G38" i="23"/>
  <c r="G46" i="23"/>
  <c r="G30" i="23"/>
  <c r="G60" i="23"/>
  <c r="G27" i="23"/>
  <c r="G28" i="23"/>
  <c r="G39" i="23"/>
  <c r="G10" i="23"/>
  <c r="G20" i="23"/>
  <c r="G31" i="23"/>
  <c r="G42" i="23"/>
  <c r="G53" i="23"/>
  <c r="G61" i="23"/>
  <c r="G56" i="23"/>
  <c r="G32" i="23"/>
  <c r="G43" i="23"/>
  <c r="G54" i="23"/>
  <c r="G62" i="23"/>
  <c r="G9" i="23"/>
  <c r="G57" i="23"/>
  <c r="G14" i="23"/>
  <c r="G11" i="23"/>
  <c r="G33" i="23"/>
  <c r="G44" i="23"/>
  <c r="G55" i="23"/>
  <c r="G50" i="23"/>
  <c r="G58" i="23"/>
  <c r="G12" i="23"/>
  <c r="G51" i="23"/>
  <c r="G59" i="23"/>
  <c r="D34" i="23"/>
  <c r="D23" i="23"/>
  <c r="D63" i="23"/>
  <c r="F63" i="23" s="1"/>
  <c r="D47" i="23"/>
  <c r="D16" i="23"/>
  <c r="E47" i="23"/>
  <c r="G47" i="23" s="1"/>
  <c r="E63" i="23"/>
  <c r="E16" i="23"/>
  <c r="F16" i="23" l="1"/>
  <c r="F47" i="23"/>
  <c r="G63" i="23"/>
  <c r="G16" i="23"/>
  <c r="D66" i="23"/>
  <c r="D62" i="20" l="1"/>
  <c r="F62" i="20" s="1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37" i="20"/>
  <c r="D38" i="20"/>
  <c r="D39" i="20"/>
  <c r="D40" i="20"/>
  <c r="D41" i="20"/>
  <c r="D42" i="20"/>
  <c r="D43" i="20"/>
  <c r="D44" i="20"/>
  <c r="D45" i="20"/>
  <c r="D26" i="20"/>
  <c r="D27" i="20"/>
  <c r="D28" i="20"/>
  <c r="D29" i="20"/>
  <c r="D30" i="20"/>
  <c r="D31" i="20"/>
  <c r="D32" i="20"/>
  <c r="D33" i="20"/>
  <c r="D19" i="20"/>
  <c r="D20" i="20"/>
  <c r="D21" i="20"/>
  <c r="D22" i="20"/>
  <c r="D7" i="20"/>
  <c r="D8" i="20"/>
  <c r="D9" i="20"/>
  <c r="D10" i="20"/>
  <c r="D11" i="20"/>
  <c r="D12" i="20"/>
  <c r="D13" i="20"/>
  <c r="D14" i="20"/>
  <c r="D15" i="20"/>
  <c r="D4" i="20"/>
  <c r="D63" i="20" l="1"/>
  <c r="D16" i="20"/>
  <c r="D46" i="20"/>
  <c r="D34" i="20"/>
  <c r="D23" i="20"/>
  <c r="J10" i="20"/>
  <c r="E42" i="20"/>
  <c r="F42" i="20" s="1"/>
  <c r="E29" i="20"/>
  <c r="F29" i="20" s="1"/>
  <c r="J4" i="20"/>
  <c r="G40" i="1"/>
  <c r="G36" i="1"/>
  <c r="G27" i="1"/>
  <c r="E50" i="20"/>
  <c r="F50" i="20" s="1"/>
  <c r="E53" i="20"/>
  <c r="F53" i="20" s="1"/>
  <c r="E59" i="20"/>
  <c r="F59" i="20" s="1"/>
  <c r="E56" i="20"/>
  <c r="F56" i="20" s="1"/>
  <c r="E54" i="20"/>
  <c r="F54" i="20" s="1"/>
  <c r="E58" i="20"/>
  <c r="F58" i="20" s="1"/>
  <c r="E49" i="20"/>
  <c r="F49" i="20" s="1"/>
  <c r="E57" i="20"/>
  <c r="F57" i="20" s="1"/>
  <c r="E51" i="20"/>
  <c r="F51" i="20" s="1"/>
  <c r="E61" i="20"/>
  <c r="F61" i="20" s="1"/>
  <c r="E52" i="20"/>
  <c r="F52" i="20" s="1"/>
  <c r="E55" i="20"/>
  <c r="F55" i="20" s="1"/>
  <c r="E60" i="20"/>
  <c r="F60" i="20" s="1"/>
  <c r="E10" i="20"/>
  <c r="F10" i="20" s="1"/>
  <c r="E8" i="20"/>
  <c r="F8" i="20" s="1"/>
  <c r="G69" i="1"/>
  <c r="G78" i="1"/>
  <c r="G82" i="1"/>
  <c r="G96" i="1"/>
  <c r="G105" i="1"/>
  <c r="G110" i="1"/>
  <c r="G131" i="1"/>
  <c r="G140" i="1"/>
  <c r="G143" i="1"/>
  <c r="E22" i="23" s="1"/>
  <c r="G149" i="1"/>
  <c r="G154" i="1"/>
  <c r="G161" i="1"/>
  <c r="G165" i="1"/>
  <c r="G172" i="1"/>
  <c r="G175" i="1"/>
  <c r="E21" i="23" s="1"/>
  <c r="G179" i="1"/>
  <c r="G183" i="1"/>
  <c r="G187" i="1"/>
  <c r="G192" i="1"/>
  <c r="E26" i="23" s="1"/>
  <c r="G195" i="1"/>
  <c r="G198" i="1"/>
  <c r="G201" i="1"/>
  <c r="G205" i="1"/>
  <c r="E31" i="20" s="1"/>
  <c r="F31" i="20" s="1"/>
  <c r="G208" i="1"/>
  <c r="G215" i="1"/>
  <c r="G219" i="1"/>
  <c r="G227" i="1"/>
  <c r="G127" i="1"/>
  <c r="E43" i="20"/>
  <c r="F43" i="20" s="1"/>
  <c r="E44" i="20"/>
  <c r="F44" i="20" s="1"/>
  <c r="E45" i="20"/>
  <c r="F45" i="20" s="1"/>
  <c r="E40" i="20"/>
  <c r="F40" i="20" s="1"/>
  <c r="E38" i="20"/>
  <c r="F38" i="20" s="1"/>
  <c r="E37" i="20"/>
  <c r="F37" i="20" s="1"/>
  <c r="E41" i="20"/>
  <c r="F41" i="20" s="1"/>
  <c r="E39" i="20"/>
  <c r="F39" i="20" s="1"/>
  <c r="E32" i="20"/>
  <c r="F32" i="20" s="1"/>
  <c r="E28" i="20"/>
  <c r="F28" i="20" s="1"/>
  <c r="E33" i="20"/>
  <c r="F33" i="20" s="1"/>
  <c r="E30" i="20"/>
  <c r="F30" i="20" s="1"/>
  <c r="E27" i="20"/>
  <c r="F27" i="20" s="1"/>
  <c r="E14" i="20"/>
  <c r="F14" i="20" s="1"/>
  <c r="E22" i="20"/>
  <c r="F22" i="20" s="1"/>
  <c r="E19" i="20"/>
  <c r="F19" i="20" s="1"/>
  <c r="E20" i="20"/>
  <c r="F20" i="20" s="1"/>
  <c r="E11" i="20"/>
  <c r="F11" i="20" s="1"/>
  <c r="E21" i="20"/>
  <c r="F21" i="20" s="1"/>
  <c r="E13" i="20"/>
  <c r="F13" i="20" s="1"/>
  <c r="E15" i="20"/>
  <c r="F15" i="20" s="1"/>
  <c r="E12" i="20"/>
  <c r="F12" i="20" s="1"/>
  <c r="E9" i="20"/>
  <c r="F9" i="20" s="1"/>
  <c r="E34" i="23" l="1"/>
  <c r="G26" i="23"/>
  <c r="F26" i="23"/>
  <c r="E26" i="20"/>
  <c r="F26" i="20" s="1"/>
  <c r="F21" i="23"/>
  <c r="G21" i="23"/>
  <c r="F22" i="23"/>
  <c r="G22" i="23"/>
  <c r="E23" i="23"/>
  <c r="D66" i="20"/>
  <c r="E23" i="20"/>
  <c r="F23" i="20" s="1"/>
  <c r="E63" i="20"/>
  <c r="F63" i="20" s="1"/>
  <c r="E46" i="20"/>
  <c r="F46" i="20" s="1"/>
  <c r="E34" i="20"/>
  <c r="F34" i="20" s="1"/>
  <c r="M28" i="19"/>
  <c r="M10" i="19"/>
  <c r="M16" i="19" s="1"/>
  <c r="M8" i="19"/>
  <c r="M11" i="19"/>
  <c r="H8" i="19"/>
  <c r="F34" i="23" l="1"/>
  <c r="G34" i="23"/>
  <c r="F23" i="23"/>
  <c r="E66" i="23"/>
  <c r="G23" i="23"/>
  <c r="B64" i="23"/>
  <c r="B23" i="23" s="1"/>
  <c r="H87" i="1"/>
  <c r="I86" i="1"/>
  <c r="H20" i="1"/>
  <c r="I19" i="1"/>
  <c r="B72" i="18"/>
  <c r="B71" i="18"/>
  <c r="B73" i="18" s="1"/>
  <c r="B68" i="18"/>
  <c r="B67" i="18"/>
  <c r="B63" i="18"/>
  <c r="B62" i="18"/>
  <c r="B61" i="18"/>
  <c r="B60" i="18"/>
  <c r="B59" i="18"/>
  <c r="B64" i="18" s="1"/>
  <c r="B58" i="18"/>
  <c r="B54" i="18"/>
  <c r="B55" i="18" s="1"/>
  <c r="B45" i="18"/>
  <c r="B46" i="18" s="1"/>
  <c r="B44" i="18"/>
  <c r="B43" i="18"/>
  <c r="B42" i="18"/>
  <c r="B41" i="18"/>
  <c r="B40" i="18"/>
  <c r="B39" i="18"/>
  <c r="B38" i="18"/>
  <c r="B36" i="18"/>
  <c r="B35" i="18"/>
  <c r="B34" i="18"/>
  <c r="B31" i="18"/>
  <c r="B30" i="18"/>
  <c r="B32" i="18" s="1"/>
  <c r="B47" i="18" s="1"/>
  <c r="B25" i="18"/>
  <c r="B26" i="18" s="1"/>
  <c r="B24" i="18"/>
  <c r="B23" i="18"/>
  <c r="B22" i="18"/>
  <c r="B21" i="18"/>
  <c r="B19" i="18"/>
  <c r="B18" i="18"/>
  <c r="B15" i="18"/>
  <c r="B14" i="18"/>
  <c r="B16" i="18" s="1"/>
  <c r="B13" i="18"/>
  <c r="B12" i="18"/>
  <c r="B11" i="18"/>
  <c r="B10" i="18"/>
  <c r="B63" i="23" l="1"/>
  <c r="B34" i="23"/>
  <c r="B47" i="23"/>
  <c r="B16" i="23"/>
  <c r="F66" i="23"/>
  <c r="G66" i="23"/>
  <c r="B27" i="18"/>
  <c r="B48" i="18" s="1"/>
  <c r="B65" i="18"/>
  <c r="B69" i="18" s="1"/>
  <c r="B74" i="18" s="1"/>
  <c r="Q253" i="1" l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I42" i="16"/>
  <c r="H42" i="16"/>
  <c r="I41" i="16"/>
  <c r="H41" i="16"/>
  <c r="I38" i="16"/>
  <c r="H38" i="16"/>
  <c r="I35" i="16"/>
  <c r="H35" i="16"/>
  <c r="I34" i="16"/>
  <c r="H34" i="16"/>
  <c r="I31" i="16"/>
  <c r="H31" i="16"/>
  <c r="I30" i="16"/>
  <c r="H30" i="16"/>
  <c r="I29" i="16"/>
  <c r="H29" i="16"/>
  <c r="I28" i="16"/>
  <c r="H28" i="16"/>
  <c r="I27" i="16"/>
  <c r="H27" i="16"/>
  <c r="I24" i="16"/>
  <c r="H24" i="16"/>
  <c r="I23" i="16"/>
  <c r="H23" i="16"/>
  <c r="I20" i="16"/>
  <c r="H20" i="16"/>
  <c r="I226" i="1"/>
  <c r="I225" i="1"/>
  <c r="I224" i="1"/>
  <c r="I223" i="1"/>
  <c r="I222" i="1"/>
  <c r="I221" i="1"/>
  <c r="I217" i="1"/>
  <c r="I214" i="1"/>
  <c r="I213" i="1"/>
  <c r="I212" i="1"/>
  <c r="I211" i="1"/>
  <c r="I210" i="1"/>
  <c r="I207" i="1"/>
  <c r="I204" i="1"/>
  <c r="I203" i="1"/>
  <c r="I200" i="1"/>
  <c r="I197" i="1"/>
  <c r="I194" i="1"/>
  <c r="I191" i="1"/>
  <c r="I190" i="1"/>
  <c r="I189" i="1"/>
  <c r="I186" i="1"/>
  <c r="I185" i="1"/>
  <c r="I181" i="1"/>
  <c r="I177" i="1"/>
  <c r="I174" i="1"/>
  <c r="I171" i="1"/>
  <c r="I170" i="1"/>
  <c r="I169" i="1"/>
  <c r="I168" i="1"/>
  <c r="I167" i="1"/>
  <c r="I163" i="1"/>
  <c r="I160" i="1"/>
  <c r="I159" i="1"/>
  <c r="I158" i="1"/>
  <c r="I157" i="1"/>
  <c r="I156" i="1"/>
  <c r="I153" i="1"/>
  <c r="I152" i="1"/>
  <c r="I151" i="1"/>
  <c r="I148" i="1"/>
  <c r="I147" i="1"/>
  <c r="I145" i="1"/>
  <c r="I142" i="1"/>
  <c r="I138" i="1"/>
  <c r="I137" i="1"/>
  <c r="I136" i="1"/>
  <c r="I135" i="1"/>
  <c r="I134" i="1"/>
  <c r="I133" i="1"/>
  <c r="I130" i="1"/>
  <c r="I129" i="1"/>
  <c r="I126" i="1"/>
  <c r="I125" i="1"/>
  <c r="I124" i="1"/>
  <c r="I123" i="1"/>
  <c r="I120" i="1"/>
  <c r="I119" i="1"/>
  <c r="I116" i="1"/>
  <c r="I115" i="1"/>
  <c r="I114" i="1"/>
  <c r="I113" i="1"/>
  <c r="I104" i="1"/>
  <c r="I102" i="1"/>
  <c r="I101" i="1"/>
  <c r="I98" i="1"/>
  <c r="I93" i="1"/>
  <c r="I87" i="1"/>
  <c r="I85" i="1"/>
  <c r="I77" i="1"/>
  <c r="I76" i="1"/>
  <c r="I75" i="1"/>
  <c r="I72" i="1"/>
  <c r="I71" i="1"/>
  <c r="I68" i="1"/>
  <c r="I64" i="1"/>
  <c r="I62" i="1"/>
  <c r="I61" i="1"/>
  <c r="I58" i="1"/>
  <c r="H58" i="1"/>
  <c r="I54" i="1"/>
  <c r="I53" i="1"/>
  <c r="I36" i="1"/>
  <c r="I18" i="1"/>
  <c r="H18" i="1"/>
  <c r="I35" i="1"/>
  <c r="I33" i="1"/>
  <c r="I31" i="1"/>
  <c r="I30" i="1"/>
  <c r="I26" i="1"/>
  <c r="I25" i="1"/>
  <c r="I23" i="1"/>
  <c r="I22" i="1"/>
  <c r="I21" i="1"/>
  <c r="I20" i="1"/>
  <c r="C169" i="1"/>
  <c r="C168" i="1"/>
  <c r="H123" i="1"/>
  <c r="C253" i="1"/>
  <c r="C252" i="1"/>
  <c r="C251" i="1"/>
  <c r="C250" i="1"/>
  <c r="C249" i="1"/>
  <c r="C248" i="1"/>
  <c r="C246" i="1"/>
  <c r="C245" i="1"/>
  <c r="C244" i="1"/>
  <c r="C241" i="1"/>
  <c r="C239" i="1"/>
  <c r="C238" i="1"/>
  <c r="C237" i="1"/>
  <c r="C236" i="1"/>
  <c r="F23" i="16"/>
  <c r="H185" i="1" l="1"/>
  <c r="D35" i="16" l="1"/>
  <c r="D29" i="16"/>
  <c r="F27" i="16"/>
  <c r="E168" i="1"/>
  <c r="E147" i="1"/>
  <c r="F38" i="16"/>
  <c r="F42" i="16" l="1"/>
  <c r="F41" i="16"/>
  <c r="F34" i="16"/>
  <c r="F31" i="16"/>
  <c r="F20" i="16"/>
  <c r="F29" i="16"/>
  <c r="F30" i="16"/>
  <c r="F28" i="16"/>
  <c r="F24" i="16"/>
  <c r="E217" i="1" l="1"/>
  <c r="E102" i="1"/>
  <c r="E98" i="1"/>
  <c r="E69" i="1"/>
  <c r="H225" i="1" l="1"/>
  <c r="H224" i="1"/>
  <c r="H223" i="1"/>
  <c r="H222" i="1"/>
  <c r="H217" i="1"/>
  <c r="H212" i="1"/>
  <c r="H210" i="1"/>
  <c r="H207" i="1"/>
  <c r="H204" i="1"/>
  <c r="H203" i="1"/>
  <c r="H200" i="1"/>
  <c r="H197" i="1"/>
  <c r="H194" i="1"/>
  <c r="H191" i="1"/>
  <c r="H190" i="1"/>
  <c r="H189" i="1"/>
  <c r="H186" i="1"/>
  <c r="H181" i="1"/>
  <c r="H177" i="1"/>
  <c r="H174" i="1"/>
  <c r="H171" i="1"/>
  <c r="H170" i="1"/>
  <c r="H169" i="1"/>
  <c r="H168" i="1"/>
  <c r="H167" i="1"/>
  <c r="H163" i="1"/>
  <c r="H160" i="1"/>
  <c r="H159" i="1"/>
  <c r="H158" i="1"/>
  <c r="H157" i="1"/>
  <c r="H156" i="1"/>
  <c r="H153" i="1"/>
  <c r="H152" i="1"/>
  <c r="H151" i="1"/>
  <c r="H147" i="1"/>
  <c r="H145" i="1"/>
  <c r="H142" i="1"/>
  <c r="H136" i="1"/>
  <c r="H135" i="1"/>
  <c r="H134" i="1"/>
  <c r="H130" i="1"/>
  <c r="H129" i="1"/>
  <c r="H126" i="1"/>
  <c r="H125" i="1"/>
  <c r="H120" i="1"/>
  <c r="H119" i="1"/>
  <c r="H101" i="1"/>
  <c r="H93" i="1"/>
  <c r="H26" i="1"/>
  <c r="H25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0" i="1"/>
  <c r="G225" i="1"/>
  <c r="G224" i="1"/>
  <c r="G223" i="1"/>
  <c r="G214" i="1"/>
  <c r="G213" i="1"/>
  <c r="G212" i="1"/>
  <c r="G211" i="1"/>
  <c r="G210" i="1"/>
  <c r="G207" i="1"/>
  <c r="G204" i="1"/>
  <c r="G203" i="1"/>
  <c r="G200" i="1"/>
  <c r="G197" i="1"/>
  <c r="G186" i="1"/>
  <c r="G181" i="1"/>
  <c r="G178" i="1"/>
  <c r="G177" i="1"/>
  <c r="G171" i="1"/>
  <c r="G170" i="1"/>
  <c r="G169" i="1"/>
  <c r="G168" i="1"/>
  <c r="G167" i="1"/>
  <c r="G164" i="1"/>
  <c r="G163" i="1"/>
  <c r="G160" i="1"/>
  <c r="G159" i="1"/>
  <c r="G158" i="1"/>
  <c r="G157" i="1"/>
  <c r="G156" i="1"/>
  <c r="G153" i="1"/>
  <c r="G152" i="1"/>
  <c r="G151" i="1"/>
  <c r="G147" i="1"/>
  <c r="G146" i="1"/>
  <c r="G139" i="1"/>
  <c r="G136" i="1"/>
  <c r="G135" i="1"/>
  <c r="G134" i="1"/>
  <c r="G130" i="1"/>
  <c r="G129" i="1"/>
  <c r="G125" i="1"/>
  <c r="G124" i="1"/>
  <c r="H124" i="1" s="1"/>
  <c r="G122" i="1"/>
  <c r="G121" i="1"/>
  <c r="G120" i="1"/>
  <c r="G119" i="1"/>
  <c r="G118" i="1"/>
  <c r="G117" i="1"/>
  <c r="G116" i="1"/>
  <c r="H116" i="1" s="1"/>
  <c r="G115" i="1"/>
  <c r="H115" i="1" s="1"/>
  <c r="G113" i="1"/>
  <c r="H113" i="1" s="1"/>
  <c r="G109" i="1"/>
  <c r="G108" i="1"/>
  <c r="G107" i="1"/>
  <c r="G104" i="1"/>
  <c r="G103" i="1"/>
  <c r="G101" i="1"/>
  <c r="G100" i="1"/>
  <c r="G99" i="1"/>
  <c r="G95" i="1"/>
  <c r="G94" i="1"/>
  <c r="G93" i="1"/>
  <c r="G92" i="1"/>
  <c r="G91" i="1"/>
  <c r="G90" i="1"/>
  <c r="G89" i="1"/>
  <c r="G88" i="1"/>
  <c r="G84" i="1"/>
  <c r="G80" i="1"/>
  <c r="G74" i="1"/>
  <c r="G73" i="1"/>
  <c r="G67" i="1"/>
  <c r="G66" i="1"/>
  <c r="G65" i="1"/>
  <c r="G63" i="1"/>
  <c r="G60" i="1"/>
  <c r="G59" i="1"/>
  <c r="G51" i="1"/>
  <c r="G50" i="1"/>
  <c r="G49" i="1"/>
  <c r="G48" i="1"/>
  <c r="G45" i="1"/>
  <c r="G42" i="1"/>
  <c r="G39" i="1"/>
  <c r="G38" i="1"/>
  <c r="H38" i="1" s="1"/>
  <c r="G35" i="1"/>
  <c r="H35" i="1" s="1"/>
  <c r="G34" i="1"/>
  <c r="G33" i="1"/>
  <c r="H33" i="1" s="1"/>
  <c r="G32" i="1"/>
  <c r="G31" i="1"/>
  <c r="H31" i="1" s="1"/>
  <c r="G30" i="1"/>
  <c r="H30" i="1" s="1"/>
  <c r="G29" i="1"/>
  <c r="G26" i="1"/>
  <c r="G25" i="1"/>
  <c r="G18" i="1"/>
  <c r="G11" i="1"/>
  <c r="G10" i="1"/>
  <c r="G9" i="1"/>
  <c r="G8" i="1"/>
  <c r="G5" i="1"/>
  <c r="F43" i="16"/>
  <c r="F39" i="16"/>
  <c r="F25" i="16"/>
  <c r="F21" i="16"/>
  <c r="F46" i="16" l="1"/>
  <c r="G185" i="1"/>
  <c r="G222" i="1"/>
  <c r="G254" i="1"/>
  <c r="G257" i="1" s="1"/>
  <c r="G52" i="1"/>
  <c r="G46" i="1"/>
  <c r="G43" i="1"/>
  <c r="W37" i="3" l="1"/>
  <c r="D261" i="1"/>
  <c r="D260" i="1"/>
  <c r="E227" i="1"/>
  <c r="D227" i="1"/>
  <c r="D208" i="1"/>
  <c r="D254" i="1"/>
  <c r="D257" i="1" s="1"/>
  <c r="D231" i="1"/>
  <c r="D219" i="1"/>
  <c r="D215" i="1"/>
  <c r="D205" i="1"/>
  <c r="D201" i="1"/>
  <c r="D198" i="1"/>
  <c r="D195" i="1"/>
  <c r="D192" i="1"/>
  <c r="D187" i="1"/>
  <c r="D183" i="1"/>
  <c r="D179" i="1"/>
  <c r="D175" i="1"/>
  <c r="D172" i="1"/>
  <c r="D165" i="1"/>
  <c r="D161" i="1"/>
  <c r="D154" i="1"/>
  <c r="D149" i="1"/>
  <c r="D143" i="1"/>
  <c r="D140" i="1"/>
  <c r="D131" i="1"/>
  <c r="D127" i="1"/>
  <c r="D105" i="1"/>
  <c r="D96" i="1"/>
  <c r="D82" i="1"/>
  <c r="D78" i="1"/>
  <c r="D69" i="1"/>
  <c r="D52" i="1"/>
  <c r="D46" i="1"/>
  <c r="D43" i="1"/>
  <c r="D40" i="1"/>
  <c r="D36" i="1"/>
  <c r="D27" i="1"/>
  <c r="D111" i="1" l="1"/>
  <c r="D232" i="1" s="1"/>
  <c r="D13" i="1" s="1"/>
  <c r="D53" i="1"/>
  <c r="D12" i="1" s="1"/>
  <c r="D54" i="1" l="1"/>
  <c r="D233" i="1"/>
  <c r="D256" i="1" s="1"/>
  <c r="D262" i="1" s="1"/>
  <c r="D15" i="1" s="1"/>
  <c r="D14" i="1"/>
  <c r="M12" i="19" l="1"/>
  <c r="M13" i="19"/>
  <c r="M14" i="19"/>
  <c r="L10" i="19"/>
  <c r="L16" i="19" s="1"/>
  <c r="J10" i="19"/>
  <c r="J16" i="19" s="1"/>
  <c r="H10" i="19"/>
  <c r="K16" i="19"/>
  <c r="I16" i="19"/>
  <c r="M15" i="19"/>
  <c r="I5" i="19"/>
  <c r="J5" i="19" s="1"/>
  <c r="K5" i="19" s="1"/>
  <c r="L5" i="19" s="1"/>
  <c r="H16" i="19" l="1"/>
  <c r="I259" i="1" l="1"/>
  <c r="E261" i="1" l="1"/>
  <c r="E260" i="1"/>
  <c r="E253" i="1" l="1"/>
  <c r="E252" i="1"/>
  <c r="L37" i="3"/>
  <c r="H37" i="3"/>
  <c r="F170" i="1"/>
  <c r="F168" i="1"/>
  <c r="H252" i="1" l="1"/>
  <c r="I252" i="1"/>
  <c r="H253" i="1"/>
  <c r="I253" i="1"/>
  <c r="E78" i="1"/>
  <c r="I51" i="1"/>
  <c r="I50" i="1"/>
  <c r="I49" i="1"/>
  <c r="I48" i="1"/>
  <c r="I45" i="1"/>
  <c r="I46" i="1" s="1"/>
  <c r="I38" i="1"/>
  <c r="I40" i="1" s="1"/>
  <c r="I43" i="1"/>
  <c r="I219" i="1"/>
  <c r="I208" i="1"/>
  <c r="I201" i="1"/>
  <c r="I198" i="1"/>
  <c r="I179" i="1"/>
  <c r="I175" i="1"/>
  <c r="I154" i="1"/>
  <c r="I103" i="1"/>
  <c r="I25" i="16"/>
  <c r="E251" i="1"/>
  <c r="I251" i="1" s="1"/>
  <c r="E250" i="1"/>
  <c r="I250" i="1" s="1"/>
  <c r="E249" i="1"/>
  <c r="I249" i="1" s="1"/>
  <c r="E248" i="1"/>
  <c r="E247" i="1"/>
  <c r="E246" i="1"/>
  <c r="I246" i="1" s="1"/>
  <c r="E245" i="1"/>
  <c r="I245" i="1" s="1"/>
  <c r="E244" i="1"/>
  <c r="E243" i="1"/>
  <c r="E242" i="1"/>
  <c r="E241" i="1"/>
  <c r="E240" i="1"/>
  <c r="E239" i="1"/>
  <c r="E238" i="1"/>
  <c r="E237" i="1"/>
  <c r="E236" i="1"/>
  <c r="I236" i="1" s="1"/>
  <c r="I43" i="16"/>
  <c r="I21" i="16"/>
  <c r="D43" i="16"/>
  <c r="D39" i="16"/>
  <c r="D25" i="16"/>
  <c r="D21" i="16"/>
  <c r="E231" i="1"/>
  <c r="E219" i="1"/>
  <c r="E215" i="1"/>
  <c r="E208" i="1"/>
  <c r="E205" i="1"/>
  <c r="E201" i="1"/>
  <c r="E198" i="1"/>
  <c r="E195" i="1"/>
  <c r="E192" i="1"/>
  <c r="E187" i="1"/>
  <c r="E183" i="1"/>
  <c r="E179" i="1"/>
  <c r="E175" i="1"/>
  <c r="E172" i="1"/>
  <c r="E165" i="1"/>
  <c r="E161" i="1"/>
  <c r="E154" i="1"/>
  <c r="E149" i="1"/>
  <c r="E143" i="1"/>
  <c r="E140" i="1"/>
  <c r="E131" i="1"/>
  <c r="E127" i="1"/>
  <c r="E105" i="1"/>
  <c r="E96" i="1"/>
  <c r="E82" i="1"/>
  <c r="F52" i="1"/>
  <c r="E52" i="1"/>
  <c r="C52" i="1"/>
  <c r="F46" i="1"/>
  <c r="E46" i="1"/>
  <c r="F43" i="1"/>
  <c r="E43" i="1"/>
  <c r="C46" i="1"/>
  <c r="C43" i="1"/>
  <c r="B46" i="1"/>
  <c r="B43" i="1"/>
  <c r="E40" i="1"/>
  <c r="E36" i="1"/>
  <c r="E27" i="1"/>
  <c r="H243" i="1" l="1"/>
  <c r="I243" i="1"/>
  <c r="H244" i="1"/>
  <c r="I244" i="1"/>
  <c r="H238" i="1"/>
  <c r="I238" i="1"/>
  <c r="H239" i="1"/>
  <c r="I239" i="1"/>
  <c r="H247" i="1"/>
  <c r="I247" i="1"/>
  <c r="H237" i="1"/>
  <c r="I237" i="1"/>
  <c r="H248" i="1"/>
  <c r="I248" i="1"/>
  <c r="H241" i="1"/>
  <c r="I241" i="1"/>
  <c r="H240" i="1"/>
  <c r="I240" i="1"/>
  <c r="H242" i="1"/>
  <c r="I242" i="1"/>
  <c r="I205" i="1"/>
  <c r="I131" i="1"/>
  <c r="I39" i="16"/>
  <c r="I46" i="16" s="1"/>
  <c r="E53" i="1"/>
  <c r="E54" i="1" s="1"/>
  <c r="I52" i="1"/>
  <c r="I215" i="1"/>
  <c r="E111" i="1"/>
  <c r="E232" i="1" s="1"/>
  <c r="D46" i="16"/>
  <c r="E254" i="1"/>
  <c r="L6" i="3"/>
  <c r="U41" i="3"/>
  <c r="F3" i="1" s="1"/>
  <c r="G3" i="1" s="1"/>
  <c r="F6" i="1"/>
  <c r="G6" i="1" s="1"/>
  <c r="E13" i="1" l="1"/>
  <c r="E12" i="1"/>
  <c r="E257" i="1"/>
  <c r="H257" i="1" s="1"/>
  <c r="E233" i="1"/>
  <c r="C69" i="1"/>
  <c r="B69" i="1"/>
  <c r="F68" i="1"/>
  <c r="G68" i="1" s="1"/>
  <c r="H68" i="1" s="1"/>
  <c r="F181" i="1"/>
  <c r="F126" i="1"/>
  <c r="I183" i="1" l="1"/>
  <c r="E14" i="1"/>
  <c r="E256" i="1"/>
  <c r="E262" i="1" s="1"/>
  <c r="F142" i="1"/>
  <c r="E25" i="16"/>
  <c r="H25" i="16" s="1"/>
  <c r="E21" i="16"/>
  <c r="H21" i="16" s="1"/>
  <c r="F251" i="1"/>
  <c r="F250" i="1"/>
  <c r="E39" i="16"/>
  <c r="H39" i="16" s="1"/>
  <c r="F249" i="1"/>
  <c r="F189" i="1"/>
  <c r="C21" i="16"/>
  <c r="C25" i="16"/>
  <c r="I143" i="1" l="1"/>
  <c r="E15" i="1"/>
  <c r="K7" i="23" s="1"/>
  <c r="F242" i="1"/>
  <c r="F243" i="1"/>
  <c r="F240" i="1"/>
  <c r="C34" i="16"/>
  <c r="C247" i="1" s="1"/>
  <c r="C27" i="16"/>
  <c r="C29" i="16"/>
  <c r="C242" i="1" s="1"/>
  <c r="C30" i="16"/>
  <c r="C243" i="1" s="1"/>
  <c r="F248" i="1"/>
  <c r="F244" i="1"/>
  <c r="F241" i="1"/>
  <c r="F237" i="1"/>
  <c r="F239" i="1"/>
  <c r="E43" i="16"/>
  <c r="C43" i="16"/>
  <c r="C195" i="1"/>
  <c r="C205" i="1"/>
  <c r="C231" i="1"/>
  <c r="C227" i="1"/>
  <c r="C219" i="1"/>
  <c r="C215" i="1"/>
  <c r="C208" i="1"/>
  <c r="C201" i="1"/>
  <c r="C198" i="1"/>
  <c r="C192" i="1"/>
  <c r="C187" i="1"/>
  <c r="C183" i="1"/>
  <c r="C179" i="1"/>
  <c r="C175" i="1"/>
  <c r="C172" i="1"/>
  <c r="C165" i="1"/>
  <c r="C161" i="1"/>
  <c r="C154" i="1"/>
  <c r="C149" i="1"/>
  <c r="C143" i="1"/>
  <c r="C140" i="1"/>
  <c r="C131" i="1"/>
  <c r="C127" i="1"/>
  <c r="C110" i="1"/>
  <c r="C105" i="1"/>
  <c r="C96" i="1"/>
  <c r="C82" i="1"/>
  <c r="C78" i="1"/>
  <c r="C40" i="1"/>
  <c r="C27" i="1"/>
  <c r="C36" i="1"/>
  <c r="B35" i="1"/>
  <c r="E87" i="17"/>
  <c r="D87" i="17"/>
  <c r="M86" i="17"/>
  <c r="P86" i="17" s="1"/>
  <c r="Q86" i="17" s="1"/>
  <c r="R86" i="17" s="1"/>
  <c r="G86" i="17"/>
  <c r="H86" i="17" s="1"/>
  <c r="I86" i="17" s="1"/>
  <c r="T86" i="17" s="1"/>
  <c r="M85" i="17"/>
  <c r="P85" i="17" s="1"/>
  <c r="Q85" i="17" s="1"/>
  <c r="R85" i="17" s="1"/>
  <c r="G85" i="17"/>
  <c r="H85" i="17" s="1"/>
  <c r="I85" i="17" s="1"/>
  <c r="M84" i="17"/>
  <c r="P84" i="17" s="1"/>
  <c r="Q84" i="17" s="1"/>
  <c r="R84" i="17" s="1"/>
  <c r="G84" i="17"/>
  <c r="H84" i="17" s="1"/>
  <c r="I84" i="17" s="1"/>
  <c r="M83" i="17"/>
  <c r="P83" i="17" s="1"/>
  <c r="Q83" i="17" s="1"/>
  <c r="R83" i="17" s="1"/>
  <c r="G83" i="17"/>
  <c r="H83" i="17" s="1"/>
  <c r="I83" i="17" s="1"/>
  <c r="M82" i="17"/>
  <c r="P82" i="17" s="1"/>
  <c r="Q82" i="17" s="1"/>
  <c r="R82" i="17" s="1"/>
  <c r="G82" i="17"/>
  <c r="H82" i="17" s="1"/>
  <c r="I82" i="17" s="1"/>
  <c r="M81" i="17"/>
  <c r="N81" i="17" s="1"/>
  <c r="G81" i="17"/>
  <c r="H81" i="17" s="1"/>
  <c r="I81" i="17" s="1"/>
  <c r="M80" i="17"/>
  <c r="P80" i="17" s="1"/>
  <c r="Q80" i="17" s="1"/>
  <c r="R80" i="17" s="1"/>
  <c r="G80" i="17"/>
  <c r="H80" i="17" s="1"/>
  <c r="I80" i="17" s="1"/>
  <c r="M79" i="17"/>
  <c r="P79" i="17" s="1"/>
  <c r="Q79" i="17" s="1"/>
  <c r="R79" i="17" s="1"/>
  <c r="G79" i="17"/>
  <c r="H79" i="17" s="1"/>
  <c r="I79" i="17" s="1"/>
  <c r="T79" i="17" s="1"/>
  <c r="P78" i="17"/>
  <c r="Q78" i="17" s="1"/>
  <c r="R78" i="17" s="1"/>
  <c r="M78" i="17"/>
  <c r="G78" i="17"/>
  <c r="H78" i="17" s="1"/>
  <c r="I78" i="17" s="1"/>
  <c r="M77" i="17"/>
  <c r="P77" i="17" s="1"/>
  <c r="Q77" i="17" s="1"/>
  <c r="R77" i="17" s="1"/>
  <c r="G77" i="17"/>
  <c r="H77" i="17" s="1"/>
  <c r="I77" i="17" s="1"/>
  <c r="M76" i="17"/>
  <c r="G76" i="17"/>
  <c r="H76" i="17" s="1"/>
  <c r="I76" i="17" s="1"/>
  <c r="P75" i="17"/>
  <c r="Q75" i="17" s="1"/>
  <c r="R75" i="17" s="1"/>
  <c r="M75" i="17"/>
  <c r="G75" i="17"/>
  <c r="H75" i="17" s="1"/>
  <c r="I75" i="17" s="1"/>
  <c r="M74" i="17"/>
  <c r="G74" i="17"/>
  <c r="H74" i="17" s="1"/>
  <c r="I74" i="17" s="1"/>
  <c r="A74" i="17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M73" i="17"/>
  <c r="G73" i="17"/>
  <c r="E68" i="17"/>
  <c r="D68" i="17"/>
  <c r="M67" i="17"/>
  <c r="P67" i="17" s="1"/>
  <c r="Q67" i="17" s="1"/>
  <c r="R67" i="17" s="1"/>
  <c r="G67" i="17"/>
  <c r="H67" i="17" s="1"/>
  <c r="I67" i="17" s="1"/>
  <c r="T67" i="17" s="1"/>
  <c r="M66" i="17"/>
  <c r="P66" i="17" s="1"/>
  <c r="Q66" i="17" s="1"/>
  <c r="R66" i="17" s="1"/>
  <c r="G66" i="17"/>
  <c r="H66" i="17" s="1"/>
  <c r="I66" i="17" s="1"/>
  <c r="T66" i="17" s="1"/>
  <c r="M65" i="17"/>
  <c r="P65" i="17" s="1"/>
  <c r="Q65" i="17" s="1"/>
  <c r="R65" i="17" s="1"/>
  <c r="G65" i="17"/>
  <c r="H65" i="17" s="1"/>
  <c r="I65" i="17" s="1"/>
  <c r="M64" i="17"/>
  <c r="P64" i="17" s="1"/>
  <c r="Q64" i="17" s="1"/>
  <c r="R64" i="17" s="1"/>
  <c r="G64" i="17"/>
  <c r="H64" i="17" s="1"/>
  <c r="I64" i="17" s="1"/>
  <c r="M63" i="17"/>
  <c r="P63" i="17" s="1"/>
  <c r="Q63" i="17" s="1"/>
  <c r="R63" i="17" s="1"/>
  <c r="H63" i="17"/>
  <c r="I63" i="17" s="1"/>
  <c r="G63" i="17"/>
  <c r="M62" i="17"/>
  <c r="N62" i="17" s="1"/>
  <c r="G62" i="17"/>
  <c r="H62" i="17" s="1"/>
  <c r="I62" i="17" s="1"/>
  <c r="P61" i="17"/>
  <c r="Q61" i="17" s="1"/>
  <c r="R61" i="17" s="1"/>
  <c r="M61" i="17"/>
  <c r="G61" i="17"/>
  <c r="H61" i="17" s="1"/>
  <c r="I61" i="17" s="1"/>
  <c r="M60" i="17"/>
  <c r="P60" i="17" s="1"/>
  <c r="Q60" i="17" s="1"/>
  <c r="R60" i="17" s="1"/>
  <c r="H60" i="17"/>
  <c r="I60" i="17" s="1"/>
  <c r="G60" i="17"/>
  <c r="M59" i="17"/>
  <c r="P59" i="17" s="1"/>
  <c r="Q59" i="17" s="1"/>
  <c r="R59" i="17" s="1"/>
  <c r="G59" i="17"/>
  <c r="H59" i="17" s="1"/>
  <c r="I59" i="17" s="1"/>
  <c r="M58" i="17"/>
  <c r="P58" i="17" s="1"/>
  <c r="Q58" i="17" s="1"/>
  <c r="R58" i="17" s="1"/>
  <c r="G58" i="17"/>
  <c r="H58" i="17" s="1"/>
  <c r="I58" i="17" s="1"/>
  <c r="M57" i="17"/>
  <c r="N57" i="17" s="1"/>
  <c r="P57" i="17" s="1"/>
  <c r="Q57" i="17" s="1"/>
  <c r="R57" i="17" s="1"/>
  <c r="G57" i="17"/>
  <c r="H57" i="17" s="1"/>
  <c r="I57" i="17" s="1"/>
  <c r="T57" i="17" s="1"/>
  <c r="M56" i="17"/>
  <c r="P56" i="17" s="1"/>
  <c r="Q56" i="17" s="1"/>
  <c r="R56" i="17" s="1"/>
  <c r="G56" i="17"/>
  <c r="H56" i="17" s="1"/>
  <c r="I56" i="17" s="1"/>
  <c r="A56" i="17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M55" i="17"/>
  <c r="N55" i="17" s="1"/>
  <c r="G55" i="17"/>
  <c r="A55" i="17"/>
  <c r="M54" i="17"/>
  <c r="G54" i="17"/>
  <c r="H54" i="17" s="1"/>
  <c r="I54" i="17" s="1"/>
  <c r="G24" i="17"/>
  <c r="F24" i="17"/>
  <c r="M22" i="17"/>
  <c r="P22" i="17" s="1"/>
  <c r="Q22" i="17" s="1"/>
  <c r="R22" i="17" s="1"/>
  <c r="I22" i="17"/>
  <c r="J22" i="17" s="1"/>
  <c r="K22" i="17" s="1"/>
  <c r="M23" i="17"/>
  <c r="P23" i="17" s="1"/>
  <c r="Q23" i="17" s="1"/>
  <c r="R23" i="17" s="1"/>
  <c r="I23" i="17"/>
  <c r="J23" i="17" s="1"/>
  <c r="K23" i="17" s="1"/>
  <c r="E46" i="17"/>
  <c r="D46" i="17"/>
  <c r="M45" i="17"/>
  <c r="P45" i="17" s="1"/>
  <c r="Q45" i="17" s="1"/>
  <c r="R45" i="17" s="1"/>
  <c r="G45" i="17"/>
  <c r="H45" i="17" s="1"/>
  <c r="I45" i="17" s="1"/>
  <c r="M44" i="17"/>
  <c r="P44" i="17" s="1"/>
  <c r="Q44" i="17" s="1"/>
  <c r="R44" i="17" s="1"/>
  <c r="G44" i="17"/>
  <c r="H44" i="17" s="1"/>
  <c r="I44" i="17" s="1"/>
  <c r="M43" i="17"/>
  <c r="P43" i="17" s="1"/>
  <c r="Q43" i="17" s="1"/>
  <c r="R43" i="17" s="1"/>
  <c r="G43" i="17"/>
  <c r="H43" i="17" s="1"/>
  <c r="I43" i="17" s="1"/>
  <c r="M42" i="17"/>
  <c r="P42" i="17" s="1"/>
  <c r="Q42" i="17" s="1"/>
  <c r="R42" i="17" s="1"/>
  <c r="G42" i="17"/>
  <c r="H42" i="17" s="1"/>
  <c r="I42" i="17" s="1"/>
  <c r="M41" i="17"/>
  <c r="P41" i="17" s="1"/>
  <c r="Q41" i="17" s="1"/>
  <c r="R41" i="17" s="1"/>
  <c r="G41" i="17"/>
  <c r="H41" i="17" s="1"/>
  <c r="I41" i="17" s="1"/>
  <c r="M40" i="17"/>
  <c r="N40" i="17" s="1"/>
  <c r="G40" i="17"/>
  <c r="H40" i="17" s="1"/>
  <c r="I40" i="17" s="1"/>
  <c r="M39" i="17"/>
  <c r="P39" i="17" s="1"/>
  <c r="Q39" i="17" s="1"/>
  <c r="R39" i="17" s="1"/>
  <c r="G39" i="17"/>
  <c r="H39" i="17" s="1"/>
  <c r="I39" i="17" s="1"/>
  <c r="T39" i="17" s="1"/>
  <c r="M38" i="17"/>
  <c r="P38" i="17" s="1"/>
  <c r="Q38" i="17" s="1"/>
  <c r="R38" i="17" s="1"/>
  <c r="G38" i="17"/>
  <c r="H38" i="17" s="1"/>
  <c r="I38" i="17" s="1"/>
  <c r="M37" i="17"/>
  <c r="P37" i="17" s="1"/>
  <c r="Q37" i="17" s="1"/>
  <c r="R37" i="17" s="1"/>
  <c r="G37" i="17"/>
  <c r="H37" i="17" s="1"/>
  <c r="I37" i="17" s="1"/>
  <c r="M36" i="17"/>
  <c r="G36" i="17"/>
  <c r="H36" i="17" s="1"/>
  <c r="I36" i="17" s="1"/>
  <c r="M35" i="17"/>
  <c r="N35" i="17" s="1"/>
  <c r="G35" i="17"/>
  <c r="H35" i="17" s="1"/>
  <c r="I35" i="17" s="1"/>
  <c r="M34" i="17"/>
  <c r="P34" i="17" s="1"/>
  <c r="Q34" i="17" s="1"/>
  <c r="R34" i="17" s="1"/>
  <c r="G34" i="17"/>
  <c r="H34" i="17" s="1"/>
  <c r="I34" i="17" s="1"/>
  <c r="M33" i="17"/>
  <c r="G33" i="17"/>
  <c r="H33" i="17" s="1"/>
  <c r="I33" i="17" s="1"/>
  <c r="A33" i="17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M32" i="17"/>
  <c r="G32" i="17"/>
  <c r="T8" i="17"/>
  <c r="M21" i="17"/>
  <c r="P21" i="17" s="1"/>
  <c r="Q21" i="17" s="1"/>
  <c r="R21" i="17" s="1"/>
  <c r="M20" i="17"/>
  <c r="P20" i="17" s="1"/>
  <c r="Q20" i="17" s="1"/>
  <c r="R20" i="17" s="1"/>
  <c r="M19" i="17"/>
  <c r="P19" i="17" s="1"/>
  <c r="Q19" i="17" s="1"/>
  <c r="R19" i="17" s="1"/>
  <c r="M18" i="17"/>
  <c r="O18" i="17" s="1"/>
  <c r="M17" i="17"/>
  <c r="P17" i="17" s="1"/>
  <c r="Q17" i="17" s="1"/>
  <c r="R17" i="17" s="1"/>
  <c r="M16" i="17"/>
  <c r="M15" i="17"/>
  <c r="P15" i="17" s="1"/>
  <c r="Q15" i="17" s="1"/>
  <c r="R15" i="17" s="1"/>
  <c r="M14" i="17"/>
  <c r="P14" i="17" s="1"/>
  <c r="Q14" i="17" s="1"/>
  <c r="R14" i="17" s="1"/>
  <c r="M13" i="17"/>
  <c r="P13" i="17" s="1"/>
  <c r="Q13" i="17" s="1"/>
  <c r="R13" i="17" s="1"/>
  <c r="M12" i="17"/>
  <c r="P12" i="17" s="1"/>
  <c r="Q12" i="17" s="1"/>
  <c r="R12" i="17" s="1"/>
  <c r="M11" i="17"/>
  <c r="M10" i="17"/>
  <c r="P10" i="17" s="1"/>
  <c r="Q10" i="17" s="1"/>
  <c r="R10" i="17" s="1"/>
  <c r="M9" i="17"/>
  <c r="M8" i="17"/>
  <c r="P8" i="17" s="1"/>
  <c r="O8" i="17"/>
  <c r="H18" i="17"/>
  <c r="H16" i="17"/>
  <c r="N16" i="17" s="1"/>
  <c r="H12" i="17"/>
  <c r="H11" i="17"/>
  <c r="N11" i="17" s="1"/>
  <c r="P11" i="17" s="1"/>
  <c r="Q11" i="17" s="1"/>
  <c r="R11" i="17" s="1"/>
  <c r="H10" i="17"/>
  <c r="H9" i="17"/>
  <c r="H8" i="17"/>
  <c r="I21" i="17"/>
  <c r="J21" i="17" s="1"/>
  <c r="K21" i="17" s="1"/>
  <c r="I20" i="17"/>
  <c r="J20" i="17" s="1"/>
  <c r="K20" i="17" s="1"/>
  <c r="T20" i="17" s="1"/>
  <c r="I19" i="17"/>
  <c r="J19" i="17" s="1"/>
  <c r="K19" i="17" s="1"/>
  <c r="I18" i="17"/>
  <c r="J18" i="17" s="1"/>
  <c r="K18" i="17" s="1"/>
  <c r="I17" i="17"/>
  <c r="J17" i="17" s="1"/>
  <c r="K17" i="17" s="1"/>
  <c r="I16" i="17"/>
  <c r="J16" i="17" s="1"/>
  <c r="K16" i="17" s="1"/>
  <c r="I15" i="17"/>
  <c r="J15" i="17" s="1"/>
  <c r="K15" i="17" s="1"/>
  <c r="T15" i="17" s="1"/>
  <c r="I14" i="17"/>
  <c r="J14" i="17" s="1"/>
  <c r="K14" i="17" s="1"/>
  <c r="I13" i="17"/>
  <c r="J13" i="17" s="1"/>
  <c r="K13" i="17" s="1"/>
  <c r="I12" i="17"/>
  <c r="J12" i="17" s="1"/>
  <c r="K12" i="17" s="1"/>
  <c r="I11" i="17"/>
  <c r="J11" i="17" s="1"/>
  <c r="K11" i="17" s="1"/>
  <c r="I10" i="17"/>
  <c r="J10" i="17" s="1"/>
  <c r="K10" i="17" s="1"/>
  <c r="T10" i="17" s="1"/>
  <c r="I9" i="17"/>
  <c r="J9" i="17" s="1"/>
  <c r="K9" i="17" s="1"/>
  <c r="I8" i="17"/>
  <c r="J8" i="17" s="1"/>
  <c r="K8" i="17" s="1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C240" i="1" l="1"/>
  <c r="C254" i="1" s="1"/>
  <c r="C257" i="1" s="1"/>
  <c r="C39" i="16"/>
  <c r="M24" i="17"/>
  <c r="K24" i="17"/>
  <c r="T11" i="17"/>
  <c r="T17" i="17"/>
  <c r="T14" i="17"/>
  <c r="N9" i="17"/>
  <c r="N24" i="17" s="1"/>
  <c r="O12" i="17"/>
  <c r="I24" i="17"/>
  <c r="J24" i="17"/>
  <c r="T12" i="17"/>
  <c r="T13" i="17"/>
  <c r="T21" i="17"/>
  <c r="T19" i="17"/>
  <c r="F247" i="1"/>
  <c r="E46" i="16"/>
  <c r="H46" i="16" s="1"/>
  <c r="C111" i="1"/>
  <c r="C232" i="1" s="1"/>
  <c r="C46" i="16"/>
  <c r="C53" i="1"/>
  <c r="T82" i="17"/>
  <c r="T80" i="17"/>
  <c r="P81" i="17"/>
  <c r="Q81" i="17" s="1"/>
  <c r="R81" i="17" s="1"/>
  <c r="T81" i="17" s="1"/>
  <c r="T85" i="17"/>
  <c r="T83" i="17"/>
  <c r="M87" i="17"/>
  <c r="P73" i="17"/>
  <c r="N76" i="17"/>
  <c r="P76" i="17" s="1"/>
  <c r="Q76" i="17" s="1"/>
  <c r="R76" i="17" s="1"/>
  <c r="T76" i="17" s="1"/>
  <c r="T84" i="17"/>
  <c r="T78" i="17"/>
  <c r="G87" i="17"/>
  <c r="T75" i="17"/>
  <c r="T77" i="17"/>
  <c r="H73" i="17"/>
  <c r="N74" i="17"/>
  <c r="T59" i="17"/>
  <c r="M68" i="17"/>
  <c r="N68" i="17"/>
  <c r="T58" i="17"/>
  <c r="T60" i="17"/>
  <c r="T63" i="17"/>
  <c r="G68" i="17"/>
  <c r="T56" i="17"/>
  <c r="T61" i="17"/>
  <c r="T64" i="17"/>
  <c r="T65" i="17"/>
  <c r="P62" i="17"/>
  <c r="Q62" i="17" s="1"/>
  <c r="R62" i="17" s="1"/>
  <c r="T62" i="17" s="1"/>
  <c r="P54" i="17"/>
  <c r="H55" i="17"/>
  <c r="I55" i="17" s="1"/>
  <c r="P55" i="17"/>
  <c r="Q55" i="17" s="1"/>
  <c r="R55" i="17" s="1"/>
  <c r="T34" i="17"/>
  <c r="T36" i="17"/>
  <c r="G46" i="17"/>
  <c r="N33" i="17"/>
  <c r="N46" i="17" s="1"/>
  <c r="P36" i="17"/>
  <c r="Q36" i="17" s="1"/>
  <c r="R36" i="17" s="1"/>
  <c r="M46" i="17"/>
  <c r="T45" i="17"/>
  <c r="T44" i="17"/>
  <c r="T38" i="17"/>
  <c r="P40" i="17"/>
  <c r="Q40" i="17" s="1"/>
  <c r="R40" i="17" s="1"/>
  <c r="T40" i="17" s="1"/>
  <c r="T42" i="17"/>
  <c r="T22" i="17"/>
  <c r="T23" i="17"/>
  <c r="P9" i="17"/>
  <c r="O9" i="17"/>
  <c r="O16" i="17"/>
  <c r="P16" i="17"/>
  <c r="Q16" i="17" s="1"/>
  <c r="R16" i="17" s="1"/>
  <c r="T16" i="17" s="1"/>
  <c r="O11" i="17"/>
  <c r="P18" i="17"/>
  <c r="Q18" i="17" s="1"/>
  <c r="R18" i="17" s="1"/>
  <c r="T18" i="17" s="1"/>
  <c r="T41" i="17"/>
  <c r="T43" i="17"/>
  <c r="P35" i="17"/>
  <c r="Q35" i="17" s="1"/>
  <c r="R35" i="17" s="1"/>
  <c r="T35" i="17" s="1"/>
  <c r="T37" i="17"/>
  <c r="H32" i="17"/>
  <c r="P32" i="17"/>
  <c r="O10" i="17"/>
  <c r="Q8" i="17"/>
  <c r="R8" i="17" s="1"/>
  <c r="Q9" i="17" l="1"/>
  <c r="P24" i="17"/>
  <c r="I254" i="1"/>
  <c r="I257" i="1" s="1"/>
  <c r="C13" i="1"/>
  <c r="C54" i="1"/>
  <c r="C233" i="1" s="1"/>
  <c r="C256" i="1" s="1"/>
  <c r="C262" i="1" s="1"/>
  <c r="C15" i="1" s="1"/>
  <c r="C12" i="1"/>
  <c r="I73" i="17"/>
  <c r="H87" i="17"/>
  <c r="Q73" i="17"/>
  <c r="N87" i="17"/>
  <c r="P74" i="17"/>
  <c r="Q74" i="17" s="1"/>
  <c r="R74" i="17" s="1"/>
  <c r="T74" i="17" s="1"/>
  <c r="T55" i="17"/>
  <c r="Q54" i="17"/>
  <c r="P68" i="17"/>
  <c r="H68" i="17"/>
  <c r="I68" i="17"/>
  <c r="P33" i="17"/>
  <c r="Q33" i="17" s="1"/>
  <c r="R33" i="17" s="1"/>
  <c r="T33" i="17" s="1"/>
  <c r="Q32" i="17"/>
  <c r="I32" i="17"/>
  <c r="H46" i="17"/>
  <c r="R9" i="17" l="1"/>
  <c r="Q24" i="17"/>
  <c r="C14" i="1"/>
  <c r="P87" i="17"/>
  <c r="R73" i="17"/>
  <c r="R87" i="17" s="1"/>
  <c r="Q87" i="17"/>
  <c r="I87" i="17"/>
  <c r="Q68" i="17"/>
  <c r="R54" i="17"/>
  <c r="P46" i="17"/>
  <c r="I46" i="17"/>
  <c r="R32" i="17"/>
  <c r="R46" i="17" s="1"/>
  <c r="Q46" i="17"/>
  <c r="T9" i="17" l="1"/>
  <c r="T24" i="17" s="1"/>
  <c r="F98" i="1" s="1"/>
  <c r="G98" i="1" s="1"/>
  <c r="R24" i="17"/>
  <c r="T73" i="17"/>
  <c r="T87" i="17" s="1"/>
  <c r="R68" i="17"/>
  <c r="T54" i="17"/>
  <c r="T68" i="17" s="1"/>
  <c r="T32" i="17"/>
  <c r="T46" i="17" s="1"/>
  <c r="F102" i="1" s="1"/>
  <c r="G102" i="1" s="1"/>
  <c r="H102" i="1" s="1"/>
  <c r="H98" i="1" l="1"/>
  <c r="B4" i="6"/>
  <c r="E4" i="6"/>
  <c r="I105" i="1" l="1"/>
  <c r="F190" i="1"/>
  <c r="I192" i="1" l="1"/>
  <c r="F226" i="1"/>
  <c r="G226" i="1" s="1"/>
  <c r="H226" i="1" l="1"/>
  <c r="G261" i="1"/>
  <c r="I261" i="1"/>
  <c r="B78" i="1"/>
  <c r="I35" i="3" l="1"/>
  <c r="L35" i="3" s="1"/>
  <c r="I10" i="3"/>
  <c r="L10" i="3" s="1"/>
  <c r="I23" i="3"/>
  <c r="L23" i="3" s="1"/>
  <c r="L36" i="3"/>
  <c r="L27" i="3"/>
  <c r="L26" i="3"/>
  <c r="L25" i="3"/>
  <c r="L24" i="3"/>
  <c r="L19" i="3"/>
  <c r="L18" i="3"/>
  <c r="L17" i="3"/>
  <c r="L13" i="3"/>
  <c r="L9" i="3"/>
  <c r="J41" i="3"/>
  <c r="I20" i="3"/>
  <c r="L20" i="3" s="1"/>
  <c r="I11" i="3"/>
  <c r="L11" i="3" s="1"/>
  <c r="R10" i="3"/>
  <c r="K72" i="1" l="1"/>
  <c r="F72" i="1"/>
  <c r="G72" i="1" s="1"/>
  <c r="H72" i="1" s="1"/>
  <c r="I41" i="3"/>
  <c r="K126" i="1"/>
  <c r="K98" i="1"/>
  <c r="T38" i="3"/>
  <c r="T33" i="3"/>
  <c r="T32" i="3"/>
  <c r="T31" i="3"/>
  <c r="T30" i="3"/>
  <c r="T29" i="3"/>
  <c r="T28" i="3"/>
  <c r="T23" i="3"/>
  <c r="T17" i="3"/>
  <c r="T16" i="3"/>
  <c r="T15" i="3"/>
  <c r="T14" i="3"/>
  <c r="T12" i="3"/>
  <c r="T8" i="3"/>
  <c r="T7" i="3"/>
  <c r="K20" i="1"/>
  <c r="F5" i="7"/>
  <c r="K253" i="1"/>
  <c r="K241" i="1"/>
  <c r="K240" i="1"/>
  <c r="K239" i="1"/>
  <c r="K238" i="1"/>
  <c r="K237" i="1"/>
  <c r="K236" i="1"/>
  <c r="K224" i="1"/>
  <c r="K223" i="1"/>
  <c r="K222" i="1"/>
  <c r="K221" i="1"/>
  <c r="K217" i="1"/>
  <c r="K219" i="1" s="1"/>
  <c r="K207" i="1"/>
  <c r="K208" i="1" s="1"/>
  <c r="K204" i="1"/>
  <c r="K203" i="1"/>
  <c r="K197" i="1"/>
  <c r="K198" i="1" s="1"/>
  <c r="K191" i="1"/>
  <c r="K190" i="1"/>
  <c r="K189" i="1"/>
  <c r="K177" i="1"/>
  <c r="K179" i="1" s="1"/>
  <c r="K174" i="1"/>
  <c r="K175" i="1" s="1"/>
  <c r="K170" i="1"/>
  <c r="K169" i="1"/>
  <c r="K164" i="1"/>
  <c r="K160" i="1"/>
  <c r="K159" i="1"/>
  <c r="K158" i="1"/>
  <c r="K157" i="1"/>
  <c r="K153" i="1"/>
  <c r="K152" i="1"/>
  <c r="K151" i="1"/>
  <c r="K147" i="1"/>
  <c r="K146" i="1"/>
  <c r="K139" i="1"/>
  <c r="K136" i="1"/>
  <c r="K130" i="1"/>
  <c r="K129" i="1"/>
  <c r="K122" i="1"/>
  <c r="K121" i="1"/>
  <c r="K120" i="1"/>
  <c r="K118" i="1"/>
  <c r="K117" i="1"/>
  <c r="K116" i="1"/>
  <c r="K113" i="1"/>
  <c r="K35" i="1"/>
  <c r="K33" i="1"/>
  <c r="F33" i="1"/>
  <c r="K9" i="1"/>
  <c r="K215" i="1"/>
  <c r="K200" i="1"/>
  <c r="K183" i="1"/>
  <c r="K92" i="1"/>
  <c r="K91" i="1"/>
  <c r="K90" i="1"/>
  <c r="K89" i="1"/>
  <c r="K88" i="1"/>
  <c r="K80" i="1"/>
  <c r="K82" i="1" s="1"/>
  <c r="K73" i="1"/>
  <c r="K67" i="1"/>
  <c r="K66" i="1"/>
  <c r="K65" i="1"/>
  <c r="K63" i="1"/>
  <c r="K60" i="1"/>
  <c r="K59" i="1"/>
  <c r="K52" i="1"/>
  <c r="K46" i="1"/>
  <c r="K43" i="1"/>
  <c r="K40" i="1"/>
  <c r="K205" i="1" l="1"/>
  <c r="K131" i="1"/>
  <c r="K154" i="1"/>
  <c r="K192" i="1"/>
  <c r="K254" i="1"/>
  <c r="K257" i="1" s="1"/>
  <c r="K110" i="1"/>
  <c r="F163" i="1"/>
  <c r="K163" i="1" l="1"/>
  <c r="K165" i="1" s="1"/>
  <c r="I165" i="1"/>
  <c r="K168" i="1"/>
  <c r="F119" i="1" l="1"/>
  <c r="V237" i="1"/>
  <c r="F115" i="1" l="1"/>
  <c r="Y120" i="1"/>
  <c r="F225" i="1"/>
  <c r="K225" i="1" l="1"/>
  <c r="C55" i="14"/>
  <c r="D55" i="14" s="1"/>
  <c r="F55" i="14" s="1"/>
  <c r="D54" i="14"/>
  <c r="C54" i="14"/>
  <c r="E54" i="14" s="1"/>
  <c r="E53" i="14"/>
  <c r="D53" i="14"/>
  <c r="C53" i="14"/>
  <c r="C51" i="14"/>
  <c r="D51" i="14" s="1"/>
  <c r="F51" i="14" s="1"/>
  <c r="D50" i="14"/>
  <c r="C50" i="14"/>
  <c r="E50" i="14" s="1"/>
  <c r="D49" i="14"/>
  <c r="C49" i="14"/>
  <c r="E49" i="14" s="1"/>
  <c r="D48" i="14"/>
  <c r="C48" i="14"/>
  <c r="E48" i="14" s="1"/>
  <c r="D46" i="14"/>
  <c r="C46" i="14"/>
  <c r="E46" i="14" s="1"/>
  <c r="D45" i="14"/>
  <c r="C45" i="14"/>
  <c r="E45" i="14" s="1"/>
  <c r="D43" i="14"/>
  <c r="C43" i="14"/>
  <c r="E43" i="14" s="1"/>
  <c r="D41" i="14"/>
  <c r="C41" i="14"/>
  <c r="E41" i="14" s="1"/>
  <c r="D40" i="14"/>
  <c r="C40" i="14"/>
  <c r="E40" i="14" s="1"/>
  <c r="D39" i="14"/>
  <c r="C39" i="14"/>
  <c r="E39" i="14" s="1"/>
  <c r="C38" i="14"/>
  <c r="D38" i="14" s="1"/>
  <c r="F38" i="14" s="1"/>
  <c r="D37" i="14"/>
  <c r="C37" i="14"/>
  <c r="E37" i="14" s="1"/>
  <c r="D35" i="14"/>
  <c r="C35" i="14"/>
  <c r="E35" i="14" s="1"/>
  <c r="D33" i="14"/>
  <c r="C33" i="14"/>
  <c r="E33" i="14" s="1"/>
  <c r="D32" i="14"/>
  <c r="C32" i="14"/>
  <c r="E32" i="14" s="1"/>
  <c r="D30" i="14"/>
  <c r="C30" i="14"/>
  <c r="E30" i="14" s="1"/>
  <c r="C29" i="14"/>
  <c r="D29" i="14" s="1"/>
  <c r="F29" i="14" s="1"/>
  <c r="D28" i="14"/>
  <c r="C28" i="14"/>
  <c r="E28" i="14" s="1"/>
  <c r="D27" i="14"/>
  <c r="C27" i="14"/>
  <c r="E27" i="14" s="1"/>
  <c r="D23" i="14"/>
  <c r="C23" i="14"/>
  <c r="E23" i="14" s="1"/>
  <c r="D22" i="14"/>
  <c r="C22" i="14"/>
  <c r="E22" i="14" s="1"/>
  <c r="D21" i="14"/>
  <c r="C21" i="14"/>
  <c r="E21" i="14" s="1"/>
  <c r="D19" i="14"/>
  <c r="C19" i="14"/>
  <c r="E19" i="14" s="1"/>
  <c r="C18" i="14"/>
  <c r="D18" i="14" s="1"/>
  <c r="F18" i="14" s="1"/>
  <c r="D17" i="14"/>
  <c r="C17" i="14"/>
  <c r="E17" i="14" s="1"/>
  <c r="D16" i="14"/>
  <c r="C16" i="14"/>
  <c r="E16" i="14" s="1"/>
  <c r="D14" i="14"/>
  <c r="C14" i="14"/>
  <c r="E14" i="14" s="1"/>
  <c r="D13" i="14"/>
  <c r="C13" i="14"/>
  <c r="E13" i="14" s="1"/>
  <c r="C12" i="14"/>
  <c r="D12" i="14" s="1"/>
  <c r="F12" i="14" s="1"/>
  <c r="D11" i="14"/>
  <c r="C11" i="14"/>
  <c r="E11" i="14" s="1"/>
  <c r="E9" i="14"/>
  <c r="D9" i="14"/>
  <c r="C9" i="14"/>
  <c r="D8" i="14"/>
  <c r="C8" i="14"/>
  <c r="E8" i="14" s="1"/>
  <c r="D7" i="14"/>
  <c r="C7" i="14"/>
  <c r="E7" i="14" s="1"/>
  <c r="D6" i="14"/>
  <c r="C6" i="14"/>
  <c r="E6" i="14" s="1"/>
  <c r="D5" i="14"/>
  <c r="F5" i="14" s="1"/>
  <c r="C3" i="14"/>
  <c r="D3" i="14" s="1"/>
  <c r="F3" i="14" s="1"/>
  <c r="F49" i="14" l="1"/>
  <c r="F16" i="14"/>
  <c r="F54" i="14"/>
  <c r="F13" i="14"/>
  <c r="F14" i="14"/>
  <c r="F43" i="14"/>
  <c r="F9" i="14"/>
  <c r="F17" i="14"/>
  <c r="F40" i="14"/>
  <c r="F46" i="14"/>
  <c r="F6" i="14"/>
  <c r="F11" i="14"/>
  <c r="F21" i="14"/>
  <c r="F23" i="14"/>
  <c r="F28" i="14"/>
  <c r="F39" i="14"/>
  <c r="F45" i="14"/>
  <c r="F50" i="14"/>
  <c r="F7" i="14"/>
  <c r="F8" i="14"/>
  <c r="F19" i="14"/>
  <c r="F22" i="14"/>
  <c r="F27" i="14"/>
  <c r="F32" i="14"/>
  <c r="F35" i="14"/>
  <c r="F41" i="14"/>
  <c r="F48" i="14"/>
  <c r="F53" i="14"/>
  <c r="F33" i="14"/>
  <c r="F37" i="14"/>
  <c r="F30" i="14"/>
  <c r="F56" i="14" l="1"/>
  <c r="F167" i="1"/>
  <c r="F156" i="1"/>
  <c r="K156" i="1" l="1"/>
  <c r="K161" i="1" s="1"/>
  <c r="I161" i="1"/>
  <c r="K167" i="1"/>
  <c r="G46" i="12"/>
  <c r="F46" i="12"/>
  <c r="E46" i="12"/>
  <c r="D46" i="12"/>
  <c r="G37" i="12"/>
  <c r="F37" i="12"/>
  <c r="E37" i="12"/>
  <c r="D37" i="12"/>
  <c r="G32" i="12"/>
  <c r="F32" i="12"/>
  <c r="E32" i="12"/>
  <c r="D32" i="12"/>
  <c r="G25" i="12"/>
  <c r="F25" i="12"/>
  <c r="E25" i="12"/>
  <c r="D25" i="12"/>
  <c r="G19" i="12"/>
  <c r="G47" i="12" s="1"/>
  <c r="F19" i="12"/>
  <c r="F47" i="12" s="1"/>
  <c r="E19" i="12"/>
  <c r="E47" i="12" s="1"/>
  <c r="D19" i="12"/>
  <c r="D47" i="12" s="1"/>
  <c r="G46" i="11" l="1"/>
  <c r="F46" i="11"/>
  <c r="E46" i="11"/>
  <c r="D46" i="11"/>
  <c r="G37" i="11"/>
  <c r="F37" i="11"/>
  <c r="E37" i="11"/>
  <c r="D37" i="11"/>
  <c r="G32" i="11"/>
  <c r="F32" i="11"/>
  <c r="E32" i="11"/>
  <c r="D32" i="11"/>
  <c r="G25" i="11"/>
  <c r="F25" i="11"/>
  <c r="E25" i="11"/>
  <c r="D25" i="11"/>
  <c r="G19" i="11"/>
  <c r="G47" i="11" s="1"/>
  <c r="F19" i="11"/>
  <c r="F47" i="11" s="1"/>
  <c r="E19" i="11"/>
  <c r="D19" i="11"/>
  <c r="G48" i="10"/>
  <c r="F48" i="10"/>
  <c r="E48" i="10"/>
  <c r="D48" i="10"/>
  <c r="G37" i="10"/>
  <c r="F37" i="10"/>
  <c r="E37" i="10"/>
  <c r="D37" i="10"/>
  <c r="G32" i="10"/>
  <c r="F32" i="10"/>
  <c r="E32" i="10"/>
  <c r="D32" i="10"/>
  <c r="G25" i="10"/>
  <c r="F25" i="10"/>
  <c r="E25" i="10"/>
  <c r="D25" i="10"/>
  <c r="G19" i="10"/>
  <c r="G49" i="10" s="1"/>
  <c r="F19" i="10"/>
  <c r="F49" i="10" s="1"/>
  <c r="E19" i="10"/>
  <c r="E49" i="10" s="1"/>
  <c r="D19" i="10"/>
  <c r="D49" i="10" s="1"/>
  <c r="E47" i="11" l="1"/>
  <c r="D47" i="11"/>
  <c r="L224" i="1"/>
  <c r="M224" i="1" s="1"/>
  <c r="N224" i="1" s="1"/>
  <c r="O224" i="1" s="1"/>
  <c r="K62" i="1" l="1"/>
  <c r="T10" i="3"/>
  <c r="R70" i="9"/>
  <c r="R77" i="9"/>
  <c r="R81" i="9"/>
  <c r="R82" i="9"/>
  <c r="R95" i="9"/>
  <c r="R104" i="9"/>
  <c r="R110" i="9"/>
  <c r="R125" i="9"/>
  <c r="R129" i="9"/>
  <c r="R138" i="9"/>
  <c r="R141" i="9"/>
  <c r="R147" i="9"/>
  <c r="R152" i="9"/>
  <c r="R159" i="9"/>
  <c r="R163" i="9"/>
  <c r="R170" i="9"/>
  <c r="R173" i="9"/>
  <c r="R177" i="9"/>
  <c r="R181" i="9"/>
  <c r="R185" i="9"/>
  <c r="R190" i="9"/>
  <c r="R193" i="9"/>
  <c r="R196" i="9"/>
  <c r="R199" i="9"/>
  <c r="R203" i="9"/>
  <c r="R206" i="9"/>
  <c r="R213" i="9"/>
  <c r="R217" i="9"/>
  <c r="R224" i="9"/>
  <c r="R230" i="9"/>
  <c r="R231" i="9"/>
  <c r="F240" i="9" l="1"/>
  <c r="F11" i="9" s="1"/>
  <c r="G240" i="9"/>
  <c r="G11" i="9" s="1"/>
  <c r="H240" i="9"/>
  <c r="H11" i="9" s="1"/>
  <c r="I240" i="9"/>
  <c r="I11" i="9" s="1"/>
  <c r="J240" i="9"/>
  <c r="J11" i="9" s="1"/>
  <c r="K240" i="9"/>
  <c r="K11" i="9" s="1"/>
  <c r="L240" i="9"/>
  <c r="L11" i="9" s="1"/>
  <c r="M240" i="9"/>
  <c r="M11" i="9" s="1"/>
  <c r="N240" i="9"/>
  <c r="N11" i="9" s="1"/>
  <c r="O240" i="9"/>
  <c r="O11" i="9" s="1"/>
  <c r="Q240" i="9"/>
  <c r="Q11" i="9" s="1"/>
  <c r="S121" i="9"/>
  <c r="S197" i="9"/>
  <c r="S178" i="9"/>
  <c r="S179" i="9"/>
  <c r="S150" i="9"/>
  <c r="S143" i="9"/>
  <c r="S136" i="9"/>
  <c r="S135" i="9"/>
  <c r="S134" i="9"/>
  <c r="S78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2" i="9"/>
  <c r="S123" i="9"/>
  <c r="S124" i="9"/>
  <c r="S125" i="9"/>
  <c r="S126" i="9"/>
  <c r="S127" i="9"/>
  <c r="S128" i="9"/>
  <c r="S129" i="9"/>
  <c r="S137" i="9"/>
  <c r="S138" i="9"/>
  <c r="S140" i="9"/>
  <c r="S141" i="9"/>
  <c r="S145" i="9"/>
  <c r="S146" i="9"/>
  <c r="S147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59" i="9"/>
  <c r="S25" i="9"/>
  <c r="S35" i="9"/>
  <c r="S34" i="9"/>
  <c r="Q223" i="9"/>
  <c r="F216" i="9"/>
  <c r="G216" i="9"/>
  <c r="H216" i="9"/>
  <c r="I216" i="9"/>
  <c r="J216" i="9"/>
  <c r="K216" i="9"/>
  <c r="L216" i="9"/>
  <c r="M216" i="9"/>
  <c r="N216" i="9"/>
  <c r="O216" i="9"/>
  <c r="P216" i="9"/>
  <c r="Q216" i="9"/>
  <c r="Q212" i="9"/>
  <c r="E205" i="9"/>
  <c r="F205" i="9"/>
  <c r="G205" i="9"/>
  <c r="H205" i="9"/>
  <c r="I205" i="9"/>
  <c r="J205" i="9"/>
  <c r="K205" i="9"/>
  <c r="L205" i="9"/>
  <c r="M205" i="9"/>
  <c r="O205" i="9"/>
  <c r="P205" i="9"/>
  <c r="Q205" i="9"/>
  <c r="Q202" i="9"/>
  <c r="Q195" i="9"/>
  <c r="Q192" i="9"/>
  <c r="Q189" i="9"/>
  <c r="Q184" i="9"/>
  <c r="E180" i="9"/>
  <c r="F180" i="9"/>
  <c r="Q180" i="9"/>
  <c r="Q176" i="9"/>
  <c r="Q169" i="9"/>
  <c r="Q162" i="9"/>
  <c r="Q158" i="9"/>
  <c r="E151" i="9"/>
  <c r="Q151" i="9"/>
  <c r="E146" i="9"/>
  <c r="Q146" i="9"/>
  <c r="E140" i="9"/>
  <c r="Q140" i="9"/>
  <c r="E137" i="9"/>
  <c r="Q137" i="9"/>
  <c r="Q128" i="9"/>
  <c r="F108" i="9"/>
  <c r="G108" i="9"/>
  <c r="I108" i="9"/>
  <c r="J108" i="9"/>
  <c r="L108" i="9"/>
  <c r="M108" i="9"/>
  <c r="O108" i="9"/>
  <c r="P108" i="9"/>
  <c r="Q103" i="9"/>
  <c r="E80" i="9"/>
  <c r="F80" i="9"/>
  <c r="E76" i="9"/>
  <c r="Q69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E41" i="9"/>
  <c r="F41" i="9"/>
  <c r="G41" i="9"/>
  <c r="H41" i="9"/>
  <c r="I41" i="9"/>
  <c r="J41" i="9"/>
  <c r="K41" i="9"/>
  <c r="L41" i="9"/>
  <c r="M41" i="9"/>
  <c r="N41" i="9"/>
  <c r="O41" i="9"/>
  <c r="P41" i="9"/>
  <c r="F28" i="9"/>
  <c r="C239" i="9"/>
  <c r="C238" i="9"/>
  <c r="C237" i="9"/>
  <c r="C235" i="9"/>
  <c r="C234" i="9"/>
  <c r="C233" i="9"/>
  <c r="C232" i="9"/>
  <c r="C226" i="9"/>
  <c r="R226" i="9" s="1"/>
  <c r="C220" i="9"/>
  <c r="C219" i="9"/>
  <c r="C215" i="9"/>
  <c r="R215" i="9" s="1"/>
  <c r="C214" i="9"/>
  <c r="C211" i="9"/>
  <c r="C210" i="9"/>
  <c r="C209" i="9"/>
  <c r="C208" i="9"/>
  <c r="C207" i="9"/>
  <c r="C204" i="9"/>
  <c r="C201" i="9"/>
  <c r="C200" i="9"/>
  <c r="C197" i="9"/>
  <c r="C194" i="9"/>
  <c r="C188" i="9"/>
  <c r="C187" i="9"/>
  <c r="C186" i="9"/>
  <c r="C182" i="9"/>
  <c r="C179" i="9"/>
  <c r="C175" i="9"/>
  <c r="R175" i="9" s="1"/>
  <c r="C174" i="9"/>
  <c r="G174" i="9" s="1"/>
  <c r="C167" i="9"/>
  <c r="C166" i="9"/>
  <c r="C161" i="9"/>
  <c r="C157" i="9"/>
  <c r="C156" i="9"/>
  <c r="C155" i="9"/>
  <c r="C154" i="9"/>
  <c r="C150" i="9"/>
  <c r="C149" i="9"/>
  <c r="C148" i="9"/>
  <c r="H148" i="9" s="1"/>
  <c r="C144" i="9"/>
  <c r="C143" i="9"/>
  <c r="R143" i="9" s="1"/>
  <c r="C136" i="9"/>
  <c r="C133" i="9"/>
  <c r="F133" i="9" s="1"/>
  <c r="C127" i="9"/>
  <c r="C126" i="9"/>
  <c r="C122" i="9"/>
  <c r="C120" i="9"/>
  <c r="C119" i="9"/>
  <c r="C118" i="9"/>
  <c r="C117" i="9"/>
  <c r="C116" i="9"/>
  <c r="R116" i="9" s="1"/>
  <c r="C115" i="9"/>
  <c r="C114" i="9"/>
  <c r="C113" i="9"/>
  <c r="C111" i="9"/>
  <c r="C107" i="9"/>
  <c r="R107" i="9" s="1"/>
  <c r="C105" i="9"/>
  <c r="C102" i="9"/>
  <c r="R102" i="9" s="1"/>
  <c r="C101" i="9"/>
  <c r="R101" i="9" s="1"/>
  <c r="C98" i="9"/>
  <c r="R98" i="9" s="1"/>
  <c r="C97" i="9"/>
  <c r="R97" i="9" s="1"/>
  <c r="C93" i="9"/>
  <c r="R93" i="9" s="1"/>
  <c r="C92" i="9"/>
  <c r="C91" i="9"/>
  <c r="C52" i="9"/>
  <c r="C51" i="9"/>
  <c r="C50" i="9"/>
  <c r="C49" i="9"/>
  <c r="C46" i="9"/>
  <c r="C47" i="9" s="1"/>
  <c r="C43" i="9"/>
  <c r="C44" i="9" s="1"/>
  <c r="C40" i="9"/>
  <c r="C39" i="9"/>
  <c r="Q39" i="9" s="1"/>
  <c r="Q41" i="9" s="1"/>
  <c r="C36" i="9"/>
  <c r="I36" i="9" s="1"/>
  <c r="C35" i="9"/>
  <c r="C33" i="9"/>
  <c r="C25" i="9"/>
  <c r="O25" i="9" s="1"/>
  <c r="E12" i="9"/>
  <c r="Q12" i="9"/>
  <c r="P12" i="9"/>
  <c r="O12" i="9"/>
  <c r="N12" i="9"/>
  <c r="M12" i="9"/>
  <c r="L12" i="9"/>
  <c r="K12" i="9"/>
  <c r="I12" i="9"/>
  <c r="H12" i="9"/>
  <c r="G12" i="9"/>
  <c r="F12" i="9"/>
  <c r="P235" i="9" l="1"/>
  <c r="R235" i="9" s="1"/>
  <c r="P233" i="9"/>
  <c r="R233" i="9" s="1"/>
  <c r="P232" i="9"/>
  <c r="P237" i="9"/>
  <c r="R237" i="9" s="1"/>
  <c r="P238" i="9"/>
  <c r="R238" i="9" s="1"/>
  <c r="P234" i="9"/>
  <c r="R234" i="9" s="1"/>
  <c r="P239" i="9"/>
  <c r="R239" i="9" s="1"/>
  <c r="E105" i="9"/>
  <c r="E108" i="9" s="1"/>
  <c r="K210" i="9"/>
  <c r="M113" i="9"/>
  <c r="F172" i="9"/>
  <c r="F207" i="9"/>
  <c r="G219" i="9"/>
  <c r="F136" i="9"/>
  <c r="R136" i="9" s="1"/>
  <c r="J150" i="9"/>
  <c r="I194" i="9"/>
  <c r="I195" i="9" s="1"/>
  <c r="Q80" i="9"/>
  <c r="E117" i="9"/>
  <c r="R117" i="9" s="1"/>
  <c r="F211" i="9"/>
  <c r="G91" i="9"/>
  <c r="K91" i="9"/>
  <c r="O91" i="9"/>
  <c r="J91" i="9"/>
  <c r="N91" i="9"/>
  <c r="H91" i="9"/>
  <c r="L91" i="9"/>
  <c r="P91" i="9"/>
  <c r="F91" i="9"/>
  <c r="I91" i="9"/>
  <c r="M91" i="9"/>
  <c r="E91" i="9"/>
  <c r="G118" i="9"/>
  <c r="R118" i="9" s="1"/>
  <c r="E154" i="9"/>
  <c r="J182" i="9"/>
  <c r="H188" i="9"/>
  <c r="L200" i="9"/>
  <c r="I208" i="9"/>
  <c r="E214" i="9"/>
  <c r="E216" i="9" s="1"/>
  <c r="C7" i="9"/>
  <c r="R92" i="9"/>
  <c r="E115" i="9"/>
  <c r="M119" i="9"/>
  <c r="I161" i="9"/>
  <c r="L207" i="9"/>
  <c r="H172" i="9"/>
  <c r="O211" i="9"/>
  <c r="N219" i="9"/>
  <c r="J172" i="9"/>
  <c r="K207" i="9"/>
  <c r="G133" i="9"/>
  <c r="I211" i="9"/>
  <c r="H219" i="9"/>
  <c r="N172" i="9"/>
  <c r="P211" i="9"/>
  <c r="P207" i="9"/>
  <c r="M219" i="9"/>
  <c r="L188" i="9"/>
  <c r="G200" i="9"/>
  <c r="F148" i="9"/>
  <c r="G148" i="9"/>
  <c r="P200" i="9"/>
  <c r="N208" i="9"/>
  <c r="O172" i="9"/>
  <c r="P188" i="9"/>
  <c r="H200" i="9"/>
  <c r="K211" i="9"/>
  <c r="F208" i="9"/>
  <c r="G207" i="9"/>
  <c r="I219" i="9"/>
  <c r="H133" i="9"/>
  <c r="E172" i="9"/>
  <c r="L172" i="9"/>
  <c r="K188" i="9"/>
  <c r="O200" i="9"/>
  <c r="E207" i="9"/>
  <c r="M211" i="9"/>
  <c r="H211" i="9"/>
  <c r="M208" i="9"/>
  <c r="O207" i="9"/>
  <c r="I207" i="9"/>
  <c r="E219" i="9"/>
  <c r="L219" i="9"/>
  <c r="F219" i="9"/>
  <c r="P172" i="9"/>
  <c r="K172" i="9"/>
  <c r="E211" i="9"/>
  <c r="L211" i="9"/>
  <c r="G211" i="9"/>
  <c r="M207" i="9"/>
  <c r="H207" i="9"/>
  <c r="P219" i="9"/>
  <c r="J219" i="9"/>
  <c r="J37" i="9"/>
  <c r="I149" i="9"/>
  <c r="M149" i="9"/>
  <c r="F149" i="9"/>
  <c r="J149" i="9"/>
  <c r="N149" i="9"/>
  <c r="F201" i="9"/>
  <c r="J201" i="9"/>
  <c r="N201" i="9"/>
  <c r="G201" i="9"/>
  <c r="K201" i="9"/>
  <c r="O201" i="9"/>
  <c r="H209" i="9"/>
  <c r="L209" i="9"/>
  <c r="P209" i="9"/>
  <c r="I209" i="9"/>
  <c r="M209" i="9"/>
  <c r="E209" i="9"/>
  <c r="L149" i="9"/>
  <c r="M201" i="9"/>
  <c r="N209" i="9"/>
  <c r="F209" i="9"/>
  <c r="H144" i="9"/>
  <c r="G144" i="9"/>
  <c r="J194" i="9"/>
  <c r="J195" i="9" s="1"/>
  <c r="L194" i="9"/>
  <c r="L195" i="9" s="1"/>
  <c r="C205" i="9"/>
  <c r="N204" i="9"/>
  <c r="N205" i="9" s="1"/>
  <c r="I210" i="9"/>
  <c r="M210" i="9"/>
  <c r="E210" i="9"/>
  <c r="F210" i="9"/>
  <c r="J210" i="9"/>
  <c r="N210" i="9"/>
  <c r="H105" i="9"/>
  <c r="K149" i="9"/>
  <c r="K194" i="9"/>
  <c r="K195" i="9" s="1"/>
  <c r="L201" i="9"/>
  <c r="P210" i="9"/>
  <c r="H210" i="9"/>
  <c r="K209" i="9"/>
  <c r="P149" i="9"/>
  <c r="H149" i="9"/>
  <c r="E201" i="9"/>
  <c r="I201" i="9"/>
  <c r="O210" i="9"/>
  <c r="G210" i="9"/>
  <c r="J209" i="9"/>
  <c r="I114" i="9"/>
  <c r="Q114" i="9"/>
  <c r="I188" i="9"/>
  <c r="M188" i="9"/>
  <c r="E188" i="9"/>
  <c r="F188" i="9"/>
  <c r="J188" i="9"/>
  <c r="N188" i="9"/>
  <c r="I200" i="9"/>
  <c r="M200" i="9"/>
  <c r="E200" i="9"/>
  <c r="F200" i="9"/>
  <c r="J200" i="9"/>
  <c r="N200" i="9"/>
  <c r="G208" i="9"/>
  <c r="K208" i="9"/>
  <c r="O208" i="9"/>
  <c r="H208" i="9"/>
  <c r="L208" i="9"/>
  <c r="P208" i="9"/>
  <c r="F144" i="9"/>
  <c r="O149" i="9"/>
  <c r="G149" i="9"/>
  <c r="O188" i="9"/>
  <c r="G188" i="9"/>
  <c r="P201" i="9"/>
  <c r="H201" i="9"/>
  <c r="K200" i="9"/>
  <c r="E208" i="9"/>
  <c r="L210" i="9"/>
  <c r="O209" i="9"/>
  <c r="G209" i="9"/>
  <c r="J208" i="9"/>
  <c r="Q172" i="9"/>
  <c r="M172" i="9"/>
  <c r="I172" i="9"/>
  <c r="N211" i="9"/>
  <c r="J211" i="9"/>
  <c r="N207" i="9"/>
  <c r="J207" i="9"/>
  <c r="O219" i="9"/>
  <c r="K219" i="9"/>
  <c r="K105" i="9"/>
  <c r="K108" i="9" s="1"/>
  <c r="N105" i="9"/>
  <c r="N108" i="9" s="1"/>
  <c r="Q113" i="9"/>
  <c r="C176" i="9"/>
  <c r="C202" i="9"/>
  <c r="E37" i="9"/>
  <c r="E119" i="9"/>
  <c r="C41" i="9"/>
  <c r="P126" i="9"/>
  <c r="L126" i="9"/>
  <c r="H126" i="9"/>
  <c r="O126" i="9"/>
  <c r="K126" i="9"/>
  <c r="G126" i="9"/>
  <c r="N126" i="9"/>
  <c r="J126" i="9"/>
  <c r="F126" i="9"/>
  <c r="M126" i="9"/>
  <c r="I126" i="9"/>
  <c r="E126" i="9"/>
  <c r="L144" i="9"/>
  <c r="P144" i="9"/>
  <c r="K144" i="9"/>
  <c r="O144" i="9"/>
  <c r="N144" i="9"/>
  <c r="J144" i="9"/>
  <c r="C195" i="9"/>
  <c r="N195" i="9"/>
  <c r="F195" i="9"/>
  <c r="M195" i="9"/>
  <c r="E195" i="9"/>
  <c r="P195" i="9"/>
  <c r="H195" i="9"/>
  <c r="G195" i="9"/>
  <c r="O195" i="9"/>
  <c r="K36" i="9"/>
  <c r="H25" i="9"/>
  <c r="H28" i="9" s="1"/>
  <c r="L25" i="9"/>
  <c r="L28" i="9" s="1"/>
  <c r="P25" i="9"/>
  <c r="P28" i="9" s="1"/>
  <c r="C53" i="9"/>
  <c r="P113" i="9"/>
  <c r="L113" i="9"/>
  <c r="H113" i="9"/>
  <c r="O113" i="9"/>
  <c r="K113" i="9"/>
  <c r="J113" i="9"/>
  <c r="I113" i="9"/>
  <c r="N113" i="9"/>
  <c r="G113" i="9"/>
  <c r="P127" i="9"/>
  <c r="L127" i="9"/>
  <c r="H127" i="9"/>
  <c r="O127" i="9"/>
  <c r="K127" i="9"/>
  <c r="G127" i="9"/>
  <c r="N127" i="9"/>
  <c r="J127" i="9"/>
  <c r="F127" i="9"/>
  <c r="M127" i="9"/>
  <c r="I127" i="9"/>
  <c r="I133" i="9"/>
  <c r="M133" i="9"/>
  <c r="J133" i="9"/>
  <c r="N133" i="9"/>
  <c r="K133" i="9"/>
  <c r="O133" i="9"/>
  <c r="P133" i="9"/>
  <c r="P157" i="9"/>
  <c r="L157" i="9"/>
  <c r="H157" i="9"/>
  <c r="O157" i="9"/>
  <c r="K157" i="9"/>
  <c r="G157" i="9"/>
  <c r="N157" i="9"/>
  <c r="J157" i="9"/>
  <c r="F157" i="9"/>
  <c r="M157" i="9"/>
  <c r="I157" i="9"/>
  <c r="E157" i="9"/>
  <c r="H179" i="9"/>
  <c r="L179" i="9"/>
  <c r="P179" i="9"/>
  <c r="I179" i="9"/>
  <c r="M179" i="9"/>
  <c r="J179" i="9"/>
  <c r="N179" i="9"/>
  <c r="G179" i="9"/>
  <c r="K179" i="9"/>
  <c r="O179" i="9"/>
  <c r="C189" i="9"/>
  <c r="N187" i="9"/>
  <c r="J187" i="9"/>
  <c r="F187" i="9"/>
  <c r="M187" i="9"/>
  <c r="I187" i="9"/>
  <c r="E187" i="9"/>
  <c r="P187" i="9"/>
  <c r="L187" i="9"/>
  <c r="H187" i="9"/>
  <c r="O187" i="9"/>
  <c r="K187" i="9"/>
  <c r="G187" i="9"/>
  <c r="C198" i="9"/>
  <c r="Q197" i="9"/>
  <c r="C212" i="9"/>
  <c r="N36" i="9"/>
  <c r="I25" i="9"/>
  <c r="M25" i="9"/>
  <c r="Q25" i="9"/>
  <c r="E127" i="9"/>
  <c r="P120" i="9"/>
  <c r="L120" i="9"/>
  <c r="H120" i="9"/>
  <c r="O120" i="9"/>
  <c r="K120" i="9"/>
  <c r="G120" i="9"/>
  <c r="N120" i="9"/>
  <c r="J120" i="9"/>
  <c r="F120" i="9"/>
  <c r="M120" i="9"/>
  <c r="I120" i="9"/>
  <c r="E120" i="9"/>
  <c r="C151" i="9"/>
  <c r="P150" i="9"/>
  <c r="M186" i="9"/>
  <c r="I186" i="9"/>
  <c r="E186" i="9"/>
  <c r="P186" i="9"/>
  <c r="L186" i="9"/>
  <c r="H186" i="9"/>
  <c r="O186" i="9"/>
  <c r="K186" i="9"/>
  <c r="G186" i="9"/>
  <c r="N186" i="9"/>
  <c r="J186" i="9"/>
  <c r="F186" i="9"/>
  <c r="P114" i="9"/>
  <c r="L114" i="9"/>
  <c r="H114" i="9"/>
  <c r="O114" i="9"/>
  <c r="K114" i="9"/>
  <c r="G114" i="9"/>
  <c r="N114" i="9"/>
  <c r="F114" i="9"/>
  <c r="M114" i="9"/>
  <c r="J114" i="9"/>
  <c r="P122" i="9"/>
  <c r="L122" i="9"/>
  <c r="H122" i="9"/>
  <c r="O122" i="9"/>
  <c r="K122" i="9"/>
  <c r="G122" i="9"/>
  <c r="N122" i="9"/>
  <c r="J122" i="9"/>
  <c r="F122" i="9"/>
  <c r="E122" i="9"/>
  <c r="M122" i="9"/>
  <c r="P148" i="9"/>
  <c r="L148" i="9"/>
  <c r="O148" i="9"/>
  <c r="K148" i="9"/>
  <c r="J148" i="9"/>
  <c r="I148" i="9"/>
  <c r="N148" i="9"/>
  <c r="M148" i="9"/>
  <c r="P154" i="9"/>
  <c r="L154" i="9"/>
  <c r="H154" i="9"/>
  <c r="O154" i="9"/>
  <c r="K154" i="9"/>
  <c r="G154" i="9"/>
  <c r="N154" i="9"/>
  <c r="J154" i="9"/>
  <c r="F154" i="9"/>
  <c r="M154" i="9"/>
  <c r="I154" i="9"/>
  <c r="P166" i="9"/>
  <c r="L166" i="9"/>
  <c r="H166" i="9"/>
  <c r="O166" i="9"/>
  <c r="K166" i="9"/>
  <c r="G166" i="9"/>
  <c r="N166" i="9"/>
  <c r="J166" i="9"/>
  <c r="F166" i="9"/>
  <c r="M166" i="9"/>
  <c r="I166" i="9"/>
  <c r="E166" i="9"/>
  <c r="O174" i="9"/>
  <c r="O176" i="9" s="1"/>
  <c r="K174" i="9"/>
  <c r="K176" i="9" s="1"/>
  <c r="G176" i="9"/>
  <c r="N174" i="9"/>
  <c r="N176" i="9" s="1"/>
  <c r="J174" i="9"/>
  <c r="J176" i="9" s="1"/>
  <c r="F176" i="9"/>
  <c r="M174" i="9"/>
  <c r="M176" i="9" s="1"/>
  <c r="I174" i="9"/>
  <c r="I176" i="9" s="1"/>
  <c r="E176" i="9"/>
  <c r="L174" i="9"/>
  <c r="L176" i="9" s="1"/>
  <c r="H174" i="9"/>
  <c r="H176" i="9" s="1"/>
  <c r="P174" i="9"/>
  <c r="P176" i="9" s="1"/>
  <c r="M182" i="9"/>
  <c r="I182" i="9"/>
  <c r="E182" i="9"/>
  <c r="P182" i="9"/>
  <c r="L182" i="9"/>
  <c r="H182" i="9"/>
  <c r="O182" i="9"/>
  <c r="K182" i="9"/>
  <c r="G182" i="9"/>
  <c r="F182" i="9"/>
  <c r="N182" i="9"/>
  <c r="P220" i="9"/>
  <c r="L220" i="9"/>
  <c r="H220" i="9"/>
  <c r="O220" i="9"/>
  <c r="K220" i="9"/>
  <c r="G220" i="9"/>
  <c r="N220" i="9"/>
  <c r="J220" i="9"/>
  <c r="F220" i="9"/>
  <c r="I220" i="9"/>
  <c r="E220" i="9"/>
  <c r="M220" i="9"/>
  <c r="G37" i="9"/>
  <c r="Q36" i="9"/>
  <c r="J25" i="9"/>
  <c r="J28" i="9" s="1"/>
  <c r="N25" i="9"/>
  <c r="N28" i="9" s="1"/>
  <c r="P156" i="9"/>
  <c r="L156" i="9"/>
  <c r="H156" i="9"/>
  <c r="O156" i="9"/>
  <c r="K156" i="9"/>
  <c r="G156" i="9"/>
  <c r="N156" i="9"/>
  <c r="J156" i="9"/>
  <c r="F156" i="9"/>
  <c r="I156" i="9"/>
  <c r="E156" i="9"/>
  <c r="M156" i="9"/>
  <c r="C128" i="9"/>
  <c r="Q111" i="9"/>
  <c r="R111" i="9" s="1"/>
  <c r="P115" i="9"/>
  <c r="L115" i="9"/>
  <c r="H115" i="9"/>
  <c r="O115" i="9"/>
  <c r="K115" i="9"/>
  <c r="G115" i="9"/>
  <c r="J115" i="9"/>
  <c r="I115" i="9"/>
  <c r="N115" i="9"/>
  <c r="F115" i="9"/>
  <c r="P119" i="9"/>
  <c r="L119" i="9"/>
  <c r="H119" i="9"/>
  <c r="O119" i="9"/>
  <c r="K119" i="9"/>
  <c r="G119" i="9"/>
  <c r="N119" i="9"/>
  <c r="J119" i="9"/>
  <c r="I119" i="9"/>
  <c r="F119" i="9"/>
  <c r="P155" i="9"/>
  <c r="L155" i="9"/>
  <c r="H155" i="9"/>
  <c r="O155" i="9"/>
  <c r="K155" i="9"/>
  <c r="G155" i="9"/>
  <c r="N155" i="9"/>
  <c r="J155" i="9"/>
  <c r="F155" i="9"/>
  <c r="E155" i="9"/>
  <c r="M155" i="9"/>
  <c r="I155" i="9"/>
  <c r="P161" i="9"/>
  <c r="L161" i="9"/>
  <c r="H161" i="9"/>
  <c r="O161" i="9"/>
  <c r="K161" i="9"/>
  <c r="G161" i="9"/>
  <c r="N161" i="9"/>
  <c r="J161" i="9"/>
  <c r="F161" i="9"/>
  <c r="E161" i="9"/>
  <c r="M161" i="9"/>
  <c r="P167" i="9"/>
  <c r="L167" i="9"/>
  <c r="H167" i="9"/>
  <c r="O167" i="9"/>
  <c r="K167" i="9"/>
  <c r="G167" i="9"/>
  <c r="N167" i="9"/>
  <c r="J167" i="9"/>
  <c r="F167" i="9"/>
  <c r="E167" i="9"/>
  <c r="M167" i="9"/>
  <c r="I167" i="9"/>
  <c r="C216" i="9"/>
  <c r="K25" i="9"/>
  <c r="F113" i="9"/>
  <c r="M115" i="9"/>
  <c r="I122" i="9"/>
  <c r="L133" i="9"/>
  <c r="M144" i="9"/>
  <c r="I144" i="9"/>
  <c r="R232" i="9" l="1"/>
  <c r="G202" i="9"/>
  <c r="R79" i="9"/>
  <c r="R150" i="9"/>
  <c r="R216" i="9"/>
  <c r="R156" i="9"/>
  <c r="R154" i="9"/>
  <c r="P202" i="9"/>
  <c r="R211" i="9"/>
  <c r="R113" i="9"/>
  <c r="R200" i="9"/>
  <c r="R209" i="9"/>
  <c r="R115" i="9"/>
  <c r="R214" i="9"/>
  <c r="R166" i="9"/>
  <c r="R127" i="9"/>
  <c r="R208" i="9"/>
  <c r="R207" i="9"/>
  <c r="R220" i="9"/>
  <c r="R91" i="9"/>
  <c r="R204" i="9"/>
  <c r="R167" i="9"/>
  <c r="R161" i="9"/>
  <c r="R155" i="9"/>
  <c r="R182" i="9"/>
  <c r="R122" i="9"/>
  <c r="R114" i="9"/>
  <c r="R120" i="9"/>
  <c r="R187" i="9"/>
  <c r="R179" i="9"/>
  <c r="R157" i="9"/>
  <c r="R126" i="9"/>
  <c r="R188" i="9"/>
  <c r="L202" i="9"/>
  <c r="R210" i="9"/>
  <c r="R205" i="9"/>
  <c r="R194" i="9"/>
  <c r="R186" i="9"/>
  <c r="R195" i="9"/>
  <c r="R119" i="9"/>
  <c r="R201" i="9"/>
  <c r="H108" i="9"/>
  <c r="R105" i="9"/>
  <c r="R219" i="9"/>
  <c r="R176" i="9"/>
  <c r="R174" i="9"/>
  <c r="R149" i="9"/>
  <c r="R148" i="9"/>
  <c r="R144" i="9"/>
  <c r="R133" i="9"/>
  <c r="H202" i="9"/>
  <c r="K212" i="9"/>
  <c r="I212" i="9"/>
  <c r="F212" i="9"/>
  <c r="L212" i="9"/>
  <c r="G212" i="9"/>
  <c r="K202" i="9"/>
  <c r="H212" i="9"/>
  <c r="M202" i="9"/>
  <c r="E189" i="9"/>
  <c r="O212" i="9"/>
  <c r="O202" i="9"/>
  <c r="O189" i="9"/>
  <c r="I202" i="9"/>
  <c r="J212" i="9"/>
  <c r="M212" i="9"/>
  <c r="P212" i="9"/>
  <c r="F202" i="9"/>
  <c r="N212" i="9"/>
  <c r="G189" i="9"/>
  <c r="M189" i="9"/>
  <c r="N202" i="9"/>
  <c r="F189" i="9"/>
  <c r="K189" i="9"/>
  <c r="P189" i="9"/>
  <c r="E212" i="9"/>
  <c r="E202" i="9"/>
  <c r="J202" i="9"/>
  <c r="N189" i="9"/>
  <c r="H189" i="9"/>
  <c r="I189" i="9"/>
  <c r="N151" i="9"/>
  <c r="O37" i="9"/>
  <c r="J151" i="9"/>
  <c r="M151" i="9"/>
  <c r="M37" i="9"/>
  <c r="I151" i="9"/>
  <c r="O151" i="9"/>
  <c r="P151" i="9"/>
  <c r="L37" i="9"/>
  <c r="L54" i="9" s="1"/>
  <c r="L55" i="9" s="1"/>
  <c r="M128" i="9"/>
  <c r="G128" i="9"/>
  <c r="L128" i="9"/>
  <c r="H151" i="9"/>
  <c r="P37" i="9"/>
  <c r="P54" i="9" s="1"/>
  <c r="F128" i="9"/>
  <c r="K128" i="9"/>
  <c r="P128" i="9"/>
  <c r="L189" i="9"/>
  <c r="F151" i="9"/>
  <c r="G151" i="9"/>
  <c r="L151" i="9"/>
  <c r="J189" i="9"/>
  <c r="E128" i="9"/>
  <c r="J128" i="9"/>
  <c r="O128" i="9"/>
  <c r="J54" i="9"/>
  <c r="K151" i="9"/>
  <c r="H37" i="9"/>
  <c r="H54" i="9" s="1"/>
  <c r="I128" i="9"/>
  <c r="N128" i="9"/>
  <c r="H128" i="9"/>
  <c r="R202" i="9" l="1"/>
  <c r="R189" i="9"/>
  <c r="R128" i="9"/>
  <c r="R212" i="9"/>
  <c r="R151" i="9"/>
  <c r="L6" i="9"/>
  <c r="P55" i="9"/>
  <c r="P6" i="9"/>
  <c r="H55" i="9"/>
  <c r="H6" i="9"/>
  <c r="J55" i="9"/>
  <c r="J6" i="9"/>
  <c r="C221" i="9" l="1"/>
  <c r="F135" i="1"/>
  <c r="F134" i="1"/>
  <c r="C131" i="9" l="1"/>
  <c r="P131" i="9" s="1"/>
  <c r="K134" i="1"/>
  <c r="C132" i="9"/>
  <c r="G132" i="9" s="1"/>
  <c r="K135" i="1"/>
  <c r="P221" i="9"/>
  <c r="K221" i="9"/>
  <c r="F221" i="9"/>
  <c r="L221" i="9"/>
  <c r="G221" i="9"/>
  <c r="M221" i="9"/>
  <c r="N221" i="9"/>
  <c r="J221" i="9"/>
  <c r="H221" i="9"/>
  <c r="I221" i="9"/>
  <c r="O221" i="9"/>
  <c r="E221" i="9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C31" i="8"/>
  <c r="D31" i="8"/>
  <c r="E31" i="8"/>
  <c r="F31" i="8"/>
  <c r="G31" i="8"/>
  <c r="H31" i="8"/>
  <c r="I31" i="8"/>
  <c r="J31" i="8"/>
  <c r="K31" i="8"/>
  <c r="B31" i="8"/>
  <c r="B82" i="1"/>
  <c r="B183" i="1"/>
  <c r="F171" i="1"/>
  <c r="L118" i="1"/>
  <c r="M118" i="1" s="1"/>
  <c r="N118" i="1" s="1"/>
  <c r="O118" i="1" s="1"/>
  <c r="I172" i="1" l="1"/>
  <c r="N131" i="9"/>
  <c r="F131" i="9"/>
  <c r="O131" i="9"/>
  <c r="M131" i="9"/>
  <c r="K131" i="9"/>
  <c r="C168" i="9"/>
  <c r="K168" i="9" s="1"/>
  <c r="K171" i="1"/>
  <c r="K172" i="1" s="1"/>
  <c r="K132" i="9"/>
  <c r="O132" i="9"/>
  <c r="H132" i="9"/>
  <c r="N132" i="9"/>
  <c r="J132" i="9"/>
  <c r="J131" i="9"/>
  <c r="H131" i="9"/>
  <c r="I131" i="9"/>
  <c r="M132" i="9"/>
  <c r="P132" i="9"/>
  <c r="L132" i="9"/>
  <c r="G131" i="9"/>
  <c r="L131" i="9"/>
  <c r="I132" i="9"/>
  <c r="F132" i="9"/>
  <c r="R221" i="9"/>
  <c r="R132" i="9" l="1"/>
  <c r="R131" i="9"/>
  <c r="N168" i="9"/>
  <c r="G168" i="9"/>
  <c r="M168" i="9"/>
  <c r="P168" i="9"/>
  <c r="J168" i="9"/>
  <c r="L168" i="9"/>
  <c r="O168" i="9"/>
  <c r="H168" i="9"/>
  <c r="F168" i="9"/>
  <c r="E168" i="9"/>
  <c r="I168" i="9"/>
  <c r="M36" i="3"/>
  <c r="N36" i="3" s="1"/>
  <c r="O36" i="3" s="1"/>
  <c r="P36" i="3" s="1"/>
  <c r="N29" i="3"/>
  <c r="O29" i="3" s="1"/>
  <c r="P29" i="3" s="1"/>
  <c r="P31" i="3"/>
  <c r="O30" i="3"/>
  <c r="P30" i="3" s="1"/>
  <c r="M28" i="3"/>
  <c r="N28" i="3" s="1"/>
  <c r="O28" i="3" s="1"/>
  <c r="P28" i="3" s="1"/>
  <c r="L167" i="1"/>
  <c r="M167" i="1"/>
  <c r="N167" i="1"/>
  <c r="O167" i="1"/>
  <c r="L168" i="1"/>
  <c r="M168" i="1"/>
  <c r="N168" i="1"/>
  <c r="O168" i="1"/>
  <c r="T26" i="3"/>
  <c r="T27" i="3"/>
  <c r="T19" i="3"/>
  <c r="L223" i="1"/>
  <c r="M223" i="1" s="1"/>
  <c r="N223" i="1" s="1"/>
  <c r="O223" i="1" s="1"/>
  <c r="L222" i="1"/>
  <c r="M222" i="1" s="1"/>
  <c r="N222" i="1" s="1"/>
  <c r="O222" i="1" s="1"/>
  <c r="L260" i="1"/>
  <c r="M260" i="1"/>
  <c r="N260" i="1"/>
  <c r="O260" i="1"/>
  <c r="L254" i="1"/>
  <c r="L257" i="1" s="1"/>
  <c r="M254" i="1"/>
  <c r="M257" i="1" s="1"/>
  <c r="N254" i="1"/>
  <c r="N257" i="1" s="1"/>
  <c r="O254" i="1"/>
  <c r="O257" i="1" s="1"/>
  <c r="U238" i="1"/>
  <c r="V238" i="1"/>
  <c r="U239" i="1"/>
  <c r="V239" i="1"/>
  <c r="U240" i="1"/>
  <c r="U241" i="1"/>
  <c r="V241" i="1"/>
  <c r="U253" i="1"/>
  <c r="V253" i="1"/>
  <c r="L185" i="1"/>
  <c r="M185" i="1" s="1"/>
  <c r="L163" i="1"/>
  <c r="L165" i="1" s="1"/>
  <c r="M163" i="1"/>
  <c r="M165" i="1" s="1"/>
  <c r="N163" i="1"/>
  <c r="N165" i="1" s="1"/>
  <c r="O163" i="1"/>
  <c r="O165" i="1" s="1"/>
  <c r="O156" i="1"/>
  <c r="O161" i="1" s="1"/>
  <c r="N156" i="1"/>
  <c r="N161" i="1" s="1"/>
  <c r="M156" i="1"/>
  <c r="M161" i="1" s="1"/>
  <c r="L156" i="1"/>
  <c r="L161" i="1" s="1"/>
  <c r="L115" i="1"/>
  <c r="M115" i="1" s="1"/>
  <c r="N115" i="1" s="1"/>
  <c r="O115" i="1" s="1"/>
  <c r="L116" i="1"/>
  <c r="M116" i="1" s="1"/>
  <c r="N116" i="1" s="1"/>
  <c r="O116" i="1" s="1"/>
  <c r="L117" i="1"/>
  <c r="M117" i="1" s="1"/>
  <c r="N117" i="1" s="1"/>
  <c r="O117" i="1" s="1"/>
  <c r="L120" i="1"/>
  <c r="M120" i="1" s="1"/>
  <c r="N120" i="1" s="1"/>
  <c r="O120" i="1" s="1"/>
  <c r="L121" i="1"/>
  <c r="M121" i="1" s="1"/>
  <c r="N121" i="1" s="1"/>
  <c r="O121" i="1" s="1"/>
  <c r="L122" i="1"/>
  <c r="M122" i="1" s="1"/>
  <c r="N122" i="1" s="1"/>
  <c r="O122" i="1" s="1"/>
  <c r="L125" i="1"/>
  <c r="M125" i="1" s="1"/>
  <c r="N125" i="1" s="1"/>
  <c r="O125" i="1" s="1"/>
  <c r="L113" i="1"/>
  <c r="M113" i="1" s="1"/>
  <c r="N113" i="1" s="1"/>
  <c r="L231" i="1"/>
  <c r="M231" i="1"/>
  <c r="N231" i="1"/>
  <c r="O231" i="1"/>
  <c r="L215" i="1"/>
  <c r="M215" i="1"/>
  <c r="N215" i="1"/>
  <c r="O215" i="1"/>
  <c r="L208" i="1"/>
  <c r="M208" i="1"/>
  <c r="N208" i="1"/>
  <c r="O208" i="1"/>
  <c r="L205" i="1"/>
  <c r="M205" i="1"/>
  <c r="N205" i="1"/>
  <c r="O205" i="1"/>
  <c r="L198" i="1"/>
  <c r="M198" i="1"/>
  <c r="N198" i="1"/>
  <c r="O198" i="1"/>
  <c r="L195" i="1"/>
  <c r="M195" i="1"/>
  <c r="N195" i="1"/>
  <c r="O195" i="1"/>
  <c r="L192" i="1"/>
  <c r="M192" i="1"/>
  <c r="N192" i="1"/>
  <c r="O192" i="1"/>
  <c r="L179" i="1"/>
  <c r="M179" i="1"/>
  <c r="N179" i="1"/>
  <c r="O179" i="1"/>
  <c r="L154" i="1"/>
  <c r="M154" i="1"/>
  <c r="N154" i="1"/>
  <c r="O154" i="1"/>
  <c r="L131" i="1"/>
  <c r="M131" i="1"/>
  <c r="N131" i="1"/>
  <c r="O131" i="1"/>
  <c r="L88" i="1"/>
  <c r="M88" i="1"/>
  <c r="N88" i="1"/>
  <c r="O88" i="1"/>
  <c r="L89" i="1"/>
  <c r="M89" i="1"/>
  <c r="N89" i="1"/>
  <c r="O89" i="1"/>
  <c r="L90" i="1"/>
  <c r="M90" i="1"/>
  <c r="N90" i="1"/>
  <c r="O90" i="1"/>
  <c r="L91" i="1"/>
  <c r="M91" i="1"/>
  <c r="N91" i="1"/>
  <c r="O91" i="1"/>
  <c r="L92" i="1"/>
  <c r="M92" i="1"/>
  <c r="N92" i="1"/>
  <c r="O92" i="1"/>
  <c r="L77" i="1"/>
  <c r="L73" i="1"/>
  <c r="L65" i="1"/>
  <c r="L66" i="1"/>
  <c r="L67" i="1"/>
  <c r="L40" i="1"/>
  <c r="M40" i="1"/>
  <c r="N40" i="1"/>
  <c r="O40" i="1"/>
  <c r="L43" i="1"/>
  <c r="M43" i="1"/>
  <c r="N43" i="1"/>
  <c r="O43" i="1"/>
  <c r="L46" i="1"/>
  <c r="M46" i="1"/>
  <c r="N46" i="1"/>
  <c r="O46" i="1"/>
  <c r="L52" i="1"/>
  <c r="M52" i="1"/>
  <c r="N52" i="1"/>
  <c r="O52" i="1"/>
  <c r="M7" i="3"/>
  <c r="L59" i="1" s="1"/>
  <c r="M10" i="3"/>
  <c r="N10" i="3" s="1"/>
  <c r="O10" i="3" s="1"/>
  <c r="P10" i="3" s="1"/>
  <c r="O62" i="1" s="1"/>
  <c r="M12" i="3"/>
  <c r="L63" i="1" s="1"/>
  <c r="N14" i="3"/>
  <c r="O14" i="3" s="1"/>
  <c r="P14" i="3" s="1"/>
  <c r="O65" i="1" s="1"/>
  <c r="M26" i="3"/>
  <c r="N26" i="3" s="1"/>
  <c r="O26" i="3" s="1"/>
  <c r="P26" i="3" s="1"/>
  <c r="M27" i="3"/>
  <c r="N27" i="3" s="1"/>
  <c r="O27" i="3" s="1"/>
  <c r="P27" i="3" s="1"/>
  <c r="M33" i="3"/>
  <c r="N33" i="3" s="1"/>
  <c r="O33" i="3" s="1"/>
  <c r="P33" i="3" s="1"/>
  <c r="M25" i="3"/>
  <c r="L76" i="1" s="1"/>
  <c r="M38" i="3"/>
  <c r="N38" i="3" s="1"/>
  <c r="O38" i="3" s="1"/>
  <c r="P38" i="3" s="1"/>
  <c r="N15" i="3"/>
  <c r="O15" i="3" s="1"/>
  <c r="P15" i="3" s="1"/>
  <c r="O67" i="1" s="1"/>
  <c r="N16" i="3"/>
  <c r="O16" i="3" s="1"/>
  <c r="P16" i="3" s="1"/>
  <c r="O66" i="1" s="1"/>
  <c r="N32" i="3"/>
  <c r="O32" i="3" s="1"/>
  <c r="P32" i="3" s="1"/>
  <c r="O73" i="1" s="1"/>
  <c r="V236" i="1"/>
  <c r="U237" i="1"/>
  <c r="U236" i="1"/>
  <c r="M172" i="1" l="1"/>
  <c r="R168" i="9"/>
  <c r="F58" i="1"/>
  <c r="G58" i="1" s="1"/>
  <c r="K58" i="1"/>
  <c r="T6" i="3"/>
  <c r="M18" i="3"/>
  <c r="N18" i="3" s="1"/>
  <c r="O18" i="3" s="1"/>
  <c r="P18" i="3" s="1"/>
  <c r="T18" i="3"/>
  <c r="T25" i="3"/>
  <c r="K76" i="1"/>
  <c r="M19" i="3"/>
  <c r="N19" i="3" s="1"/>
  <c r="O19" i="3" s="1"/>
  <c r="P19" i="3" s="1"/>
  <c r="M6" i="3"/>
  <c r="N6" i="3" s="1"/>
  <c r="O6" i="3" s="1"/>
  <c r="N25" i="3"/>
  <c r="O25" i="3" s="1"/>
  <c r="P25" i="3" s="1"/>
  <c r="O76" i="1" s="1"/>
  <c r="N7" i="3"/>
  <c r="O7" i="3" s="1"/>
  <c r="P7" i="3" s="1"/>
  <c r="O59" i="1" s="1"/>
  <c r="N172" i="1"/>
  <c r="M67" i="1"/>
  <c r="M66" i="1"/>
  <c r="M65" i="1"/>
  <c r="M73" i="1"/>
  <c r="L172" i="1"/>
  <c r="N73" i="1"/>
  <c r="O172" i="1"/>
  <c r="N67" i="1"/>
  <c r="N66" i="1"/>
  <c r="N65" i="1"/>
  <c r="M62" i="1"/>
  <c r="O77" i="1"/>
  <c r="N77" i="1"/>
  <c r="N12" i="3"/>
  <c r="L62" i="1"/>
  <c r="N62" i="1"/>
  <c r="M77" i="1"/>
  <c r="N185" i="1"/>
  <c r="O185" i="1" s="1"/>
  <c r="O113" i="1"/>
  <c r="M58" i="1" l="1"/>
  <c r="C59" i="9"/>
  <c r="L59" i="9" s="1"/>
  <c r="N59" i="1"/>
  <c r="L58" i="1"/>
  <c r="N76" i="1"/>
  <c r="M76" i="1"/>
  <c r="M59" i="1"/>
  <c r="P6" i="3"/>
  <c r="O58" i="1" s="1"/>
  <c r="N58" i="1"/>
  <c r="M63" i="1"/>
  <c r="O12" i="3"/>
  <c r="E59" i="9" l="1"/>
  <c r="P59" i="9"/>
  <c r="J59" i="9"/>
  <c r="M59" i="9"/>
  <c r="G59" i="9"/>
  <c r="F59" i="9"/>
  <c r="I59" i="9"/>
  <c r="N59" i="9"/>
  <c r="O59" i="9"/>
  <c r="K59" i="9"/>
  <c r="H59" i="9"/>
  <c r="P12" i="3"/>
  <c r="N63" i="1"/>
  <c r="R59" i="9" l="1"/>
  <c r="O63" i="1"/>
  <c r="C19" i="2" l="1"/>
  <c r="D19" i="2" s="1"/>
  <c r="E19" i="2" s="1"/>
  <c r="F19" i="2" s="1"/>
  <c r="G19" i="2" s="1"/>
  <c r="C16" i="2"/>
  <c r="D16" i="2" l="1"/>
  <c r="E16" i="2" s="1"/>
  <c r="F16" i="2" s="1"/>
  <c r="G16" i="2" s="1"/>
  <c r="B254" i="1"/>
  <c r="B257" i="1" s="1"/>
  <c r="F40" i="1"/>
  <c r="H40" i="1" s="1"/>
  <c r="B40" i="1"/>
  <c r="L35" i="1"/>
  <c r="B192" i="1"/>
  <c r="F192" i="1"/>
  <c r="H192" i="1" s="1"/>
  <c r="B231" i="1"/>
  <c r="B227" i="1"/>
  <c r="B219" i="1"/>
  <c r="B215" i="1"/>
  <c r="B208" i="1"/>
  <c r="B205" i="1"/>
  <c r="B201" i="1"/>
  <c r="B198" i="1"/>
  <c r="B195" i="1"/>
  <c r="B187" i="1"/>
  <c r="B179" i="1"/>
  <c r="B175" i="1"/>
  <c r="B172" i="1"/>
  <c r="B165" i="1"/>
  <c r="B161" i="1"/>
  <c r="B154" i="1"/>
  <c r="B143" i="1"/>
  <c r="B131" i="1"/>
  <c r="B127" i="1"/>
  <c r="B110" i="1"/>
  <c r="B105" i="1"/>
  <c r="B92" i="1"/>
  <c r="B91" i="1"/>
  <c r="B90" i="1"/>
  <c r="B89" i="1"/>
  <c r="B88" i="1"/>
  <c r="B52" i="1"/>
  <c r="B148" i="1"/>
  <c r="B149" i="1" s="1"/>
  <c r="C160" i="9"/>
  <c r="F219" i="1"/>
  <c r="H219" i="1" s="1"/>
  <c r="F215" i="1"/>
  <c r="H215" i="1" s="1"/>
  <c r="F208" i="1"/>
  <c r="F205" i="1"/>
  <c r="H205" i="1" s="1"/>
  <c r="F198" i="1"/>
  <c r="H198" i="1" s="1"/>
  <c r="F179" i="1"/>
  <c r="H179" i="1" s="1"/>
  <c r="F154" i="1"/>
  <c r="F131" i="1"/>
  <c r="H131" i="1" s="1"/>
  <c r="H208" i="1" l="1"/>
  <c r="H154" i="1"/>
  <c r="B96" i="1"/>
  <c r="B111" i="1" s="1"/>
  <c r="B36" i="1"/>
  <c r="C162" i="9"/>
  <c r="O160" i="9"/>
  <c r="O162" i="9" s="1"/>
  <c r="J160" i="9"/>
  <c r="J162" i="9" s="1"/>
  <c r="E160" i="9"/>
  <c r="E162" i="9" s="1"/>
  <c r="N160" i="9"/>
  <c r="N162" i="9" s="1"/>
  <c r="P160" i="9"/>
  <c r="P162" i="9" s="1"/>
  <c r="K160" i="9"/>
  <c r="K162" i="9" s="1"/>
  <c r="F160" i="9"/>
  <c r="F162" i="9" s="1"/>
  <c r="L160" i="9"/>
  <c r="L162" i="9" s="1"/>
  <c r="M160" i="9"/>
  <c r="M162" i="9" s="1"/>
  <c r="H160" i="9"/>
  <c r="H162" i="9" s="1"/>
  <c r="G160" i="9"/>
  <c r="G162" i="9" s="1"/>
  <c r="I160" i="9"/>
  <c r="I162" i="9" s="1"/>
  <c r="B140" i="1"/>
  <c r="B27" i="1"/>
  <c r="B53" i="1" l="1"/>
  <c r="B54" i="1" s="1"/>
  <c r="R160" i="9"/>
  <c r="R162" i="9"/>
  <c r="B232" i="1"/>
  <c r="B12" i="1" l="1"/>
  <c r="B233" i="1"/>
  <c r="B256" i="1" s="1"/>
  <c r="B262" i="1" s="1"/>
  <c r="B15" i="1" s="1"/>
  <c r="B13" i="1"/>
  <c r="L126" i="1" l="1"/>
  <c r="M126" i="1" s="1"/>
  <c r="N126" i="1" s="1"/>
  <c r="O126" i="1" s="1"/>
  <c r="C123" i="9"/>
  <c r="E10" i="7"/>
  <c r="C10" i="7"/>
  <c r="C11" i="7" s="1"/>
  <c r="F9" i="7"/>
  <c r="F8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K41" i="3"/>
  <c r="F6" i="7"/>
  <c r="F7" i="7"/>
  <c r="F10" i="7" l="1"/>
  <c r="C12" i="7"/>
  <c r="C13" i="7" s="1"/>
  <c r="C14" i="7" s="1"/>
  <c r="C15" i="7" s="1"/>
  <c r="C16" i="7" s="1"/>
  <c r="C17" i="7" s="1"/>
  <c r="C18" i="7" s="1"/>
  <c r="C19" i="7" s="1"/>
  <c r="L221" i="1"/>
  <c r="O221" i="1"/>
  <c r="F221" i="1"/>
  <c r="M221" i="1"/>
  <c r="N221" i="1"/>
  <c r="J123" i="9"/>
  <c r="N123" i="9"/>
  <c r="Q123" i="9"/>
  <c r="Q124" i="9" s="1"/>
  <c r="K123" i="9"/>
  <c r="O123" i="9"/>
  <c r="L123" i="9"/>
  <c r="P123" i="9"/>
  <c r="M123" i="9"/>
  <c r="H123" i="9"/>
  <c r="I123" i="9"/>
  <c r="C96" i="9"/>
  <c r="N96" i="9" s="1"/>
  <c r="E11" i="7"/>
  <c r="E12" i="7" s="1"/>
  <c r="E13" i="7" s="1"/>
  <c r="E14" i="7" s="1"/>
  <c r="Q18" i="1"/>
  <c r="F227" i="1" l="1"/>
  <c r="G221" i="1"/>
  <c r="I227" i="1"/>
  <c r="F13" i="7"/>
  <c r="R123" i="9"/>
  <c r="F96" i="9"/>
  <c r="O96" i="9"/>
  <c r="L96" i="9"/>
  <c r="P96" i="9"/>
  <c r="H96" i="9"/>
  <c r="M96" i="9"/>
  <c r="E96" i="9"/>
  <c r="G96" i="9"/>
  <c r="I96" i="9"/>
  <c r="F12" i="7"/>
  <c r="K96" i="9"/>
  <c r="J96" i="9"/>
  <c r="F11" i="7"/>
  <c r="C218" i="9"/>
  <c r="E15" i="7"/>
  <c r="F14" i="7"/>
  <c r="L21" i="3"/>
  <c r="H221" i="1" l="1"/>
  <c r="M21" i="3"/>
  <c r="N21" i="3" s="1"/>
  <c r="O21" i="3" s="1"/>
  <c r="P21" i="3" s="1"/>
  <c r="T21" i="3"/>
  <c r="R96" i="9"/>
  <c r="P218" i="9"/>
  <c r="P223" i="9" s="1"/>
  <c r="K218" i="9"/>
  <c r="K223" i="9" s="1"/>
  <c r="F218" i="9"/>
  <c r="F223" i="9" s="1"/>
  <c r="J218" i="9"/>
  <c r="J223" i="9" s="1"/>
  <c r="L218" i="9"/>
  <c r="L223" i="9" s="1"/>
  <c r="G218" i="9"/>
  <c r="G223" i="9" s="1"/>
  <c r="E218" i="9"/>
  <c r="E223" i="9" s="1"/>
  <c r="H218" i="9"/>
  <c r="H223" i="9" s="1"/>
  <c r="N218" i="9"/>
  <c r="N223" i="9" s="1"/>
  <c r="M218" i="9"/>
  <c r="M223" i="9" s="1"/>
  <c r="O218" i="9"/>
  <c r="O223" i="9" s="1"/>
  <c r="I218" i="9"/>
  <c r="I223" i="9" s="1"/>
  <c r="E16" i="7"/>
  <c r="F15" i="7"/>
  <c r="F186" i="1"/>
  <c r="F165" i="1"/>
  <c r="H165" i="1" s="1"/>
  <c r="W4" i="6"/>
  <c r="Z4" i="6" s="1"/>
  <c r="X4" i="6"/>
  <c r="AA4" i="6" s="1"/>
  <c r="Y4" i="6"/>
  <c r="AB4" i="6" s="1"/>
  <c r="W5" i="6"/>
  <c r="X5" i="6"/>
  <c r="AA5" i="6" s="1"/>
  <c r="Y5" i="6"/>
  <c r="AB5" i="6" s="1"/>
  <c r="Z5" i="6"/>
  <c r="W6" i="6"/>
  <c r="Z6" i="6" s="1"/>
  <c r="X6" i="6"/>
  <c r="AA6" i="6" s="1"/>
  <c r="Y6" i="6"/>
  <c r="AB6" i="6" s="1"/>
  <c r="W7" i="6"/>
  <c r="Z7" i="6" s="1"/>
  <c r="X7" i="6"/>
  <c r="AA7" i="6" s="1"/>
  <c r="Y7" i="6"/>
  <c r="AB7" i="6" s="1"/>
  <c r="I187" i="1" l="1"/>
  <c r="C183" i="9"/>
  <c r="L183" i="9" s="1"/>
  <c r="L184" i="9" s="1"/>
  <c r="K186" i="1"/>
  <c r="K187" i="1" s="1"/>
  <c r="AC7" i="6"/>
  <c r="F161" i="1"/>
  <c r="C153" i="9"/>
  <c r="AC4" i="6"/>
  <c r="AD4" i="6" s="1"/>
  <c r="AC6" i="6"/>
  <c r="AC5" i="6"/>
  <c r="AD5" i="6" s="1"/>
  <c r="C164" i="9"/>
  <c r="R218" i="9"/>
  <c r="F187" i="1"/>
  <c r="H187" i="1" s="1"/>
  <c r="L186" i="1"/>
  <c r="E17" i="7"/>
  <c r="F16" i="7"/>
  <c r="E7" i="6"/>
  <c r="B7" i="6"/>
  <c r="AD7" i="6"/>
  <c r="B6" i="6"/>
  <c r="E6" i="6"/>
  <c r="AD6" i="6"/>
  <c r="E5" i="6"/>
  <c r="H161" i="1" l="1"/>
  <c r="M183" i="9"/>
  <c r="M184" i="9" s="1"/>
  <c r="J183" i="9"/>
  <c r="J184" i="9" s="1"/>
  <c r="O183" i="9"/>
  <c r="O184" i="9" s="1"/>
  <c r="N183" i="9"/>
  <c r="N184" i="9" s="1"/>
  <c r="E183" i="9"/>
  <c r="E184" i="9" s="1"/>
  <c r="H183" i="9"/>
  <c r="H184" i="9" s="1"/>
  <c r="G183" i="9"/>
  <c r="G184" i="9" s="1"/>
  <c r="P183" i="9"/>
  <c r="P184" i="9" s="1"/>
  <c r="C184" i="9"/>
  <c r="I183" i="9"/>
  <c r="I184" i="9" s="1"/>
  <c r="K183" i="9"/>
  <c r="K184" i="9" s="1"/>
  <c r="F183" i="9"/>
  <c r="F184" i="9" s="1"/>
  <c r="B5" i="6"/>
  <c r="L164" i="9"/>
  <c r="G164" i="9"/>
  <c r="I164" i="9"/>
  <c r="F164" i="9"/>
  <c r="H164" i="9"/>
  <c r="N164" i="9"/>
  <c r="E164" i="9"/>
  <c r="P164" i="9"/>
  <c r="O164" i="9"/>
  <c r="J164" i="9"/>
  <c r="M164" i="9"/>
  <c r="K164" i="9"/>
  <c r="O153" i="9"/>
  <c r="O158" i="9" s="1"/>
  <c r="J153" i="9"/>
  <c r="J158" i="9" s="1"/>
  <c r="E153" i="9"/>
  <c r="E158" i="9" s="1"/>
  <c r="C158" i="9"/>
  <c r="P153" i="9"/>
  <c r="P158" i="9" s="1"/>
  <c r="K153" i="9"/>
  <c r="K158" i="9" s="1"/>
  <c r="F153" i="9"/>
  <c r="F158" i="9" s="1"/>
  <c r="I153" i="9"/>
  <c r="I158" i="9" s="1"/>
  <c r="L153" i="9"/>
  <c r="L158" i="9" s="1"/>
  <c r="G153" i="9"/>
  <c r="G158" i="9" s="1"/>
  <c r="M153" i="9"/>
  <c r="M158" i="9" s="1"/>
  <c r="H153" i="9"/>
  <c r="H158" i="9" s="1"/>
  <c r="N153" i="9"/>
  <c r="N158" i="9" s="1"/>
  <c r="M186" i="1"/>
  <c r="L187" i="1"/>
  <c r="E18" i="7"/>
  <c r="F17" i="7"/>
  <c r="E13" i="6"/>
  <c r="I13" i="6"/>
  <c r="F13" i="6"/>
  <c r="J13" i="6"/>
  <c r="G13" i="6"/>
  <c r="K13" i="6"/>
  <c r="H13" i="6"/>
  <c r="F14" i="6"/>
  <c r="J14" i="6"/>
  <c r="H14" i="6"/>
  <c r="E14" i="6"/>
  <c r="G14" i="6"/>
  <c r="K14" i="6"/>
  <c r="I14" i="6"/>
  <c r="G11" i="6"/>
  <c r="K11" i="6"/>
  <c r="H11" i="6"/>
  <c r="E11" i="6"/>
  <c r="I11" i="6"/>
  <c r="F11" i="6"/>
  <c r="J11" i="6"/>
  <c r="H12" i="6"/>
  <c r="J12" i="6"/>
  <c r="G12" i="6"/>
  <c r="E12" i="6"/>
  <c r="I12" i="6"/>
  <c r="F12" i="6"/>
  <c r="K12" i="6"/>
  <c r="I26" i="19" l="1"/>
  <c r="J26" i="19" s="1"/>
  <c r="K26" i="19" s="1"/>
  <c r="L26" i="19" s="1"/>
  <c r="R184" i="9"/>
  <c r="R183" i="9"/>
  <c r="R158" i="9"/>
  <c r="R164" i="9"/>
  <c r="R153" i="9"/>
  <c r="N186" i="1"/>
  <c r="M187" i="1"/>
  <c r="E19" i="7"/>
  <c r="F19" i="7" s="1"/>
  <c r="F18" i="7"/>
  <c r="K28" i="6"/>
  <c r="K20" i="6"/>
  <c r="G20" i="6"/>
  <c r="G28" i="6"/>
  <c r="K27" i="6"/>
  <c r="K19" i="6"/>
  <c r="G21" i="6"/>
  <c r="G29" i="6"/>
  <c r="F20" i="6"/>
  <c r="F28" i="6"/>
  <c r="J20" i="6"/>
  <c r="J28" i="6"/>
  <c r="G22" i="6"/>
  <c r="G30" i="6"/>
  <c r="J19" i="6"/>
  <c r="J27" i="6"/>
  <c r="H19" i="6"/>
  <c r="H27" i="6"/>
  <c r="I22" i="6"/>
  <c r="I30" i="6"/>
  <c r="H30" i="6"/>
  <c r="H22" i="6"/>
  <c r="K29" i="6"/>
  <c r="K21" i="6"/>
  <c r="I21" i="6"/>
  <c r="I29" i="6"/>
  <c r="F27" i="6"/>
  <c r="F19" i="6"/>
  <c r="K22" i="6"/>
  <c r="K30" i="6"/>
  <c r="J22" i="6"/>
  <c r="J30" i="6"/>
  <c r="I19" i="6"/>
  <c r="I27" i="6"/>
  <c r="G19" i="6"/>
  <c r="G27" i="6"/>
  <c r="F22" i="6"/>
  <c r="F30" i="6"/>
  <c r="J29" i="6"/>
  <c r="J21" i="6"/>
  <c r="I28" i="6"/>
  <c r="I20" i="6"/>
  <c r="H28" i="6"/>
  <c r="H20" i="6"/>
  <c r="H21" i="6"/>
  <c r="H29" i="6"/>
  <c r="F29" i="6"/>
  <c r="F21" i="6"/>
  <c r="M26" i="19" l="1"/>
  <c r="C21" i="7"/>
  <c r="C22" i="7" s="1"/>
  <c r="G13" i="7" s="1"/>
  <c r="H13" i="7" s="1"/>
  <c r="O186" i="1"/>
  <c r="O187" i="1" s="1"/>
  <c r="N187" i="1"/>
  <c r="F124" i="1"/>
  <c r="L119" i="1"/>
  <c r="M119" i="1" s="1"/>
  <c r="N119" i="1" s="1"/>
  <c r="O119" i="1" s="1"/>
  <c r="E39" i="3"/>
  <c r="G13" i="3"/>
  <c r="K124" i="1" l="1"/>
  <c r="M34" i="3"/>
  <c r="T34" i="3"/>
  <c r="K75" i="1"/>
  <c r="M13" i="3"/>
  <c r="L64" i="1" s="1"/>
  <c r="T13" i="3"/>
  <c r="K64" i="1"/>
  <c r="G14" i="7"/>
  <c r="H14" i="7" s="1"/>
  <c r="G18" i="7"/>
  <c r="H18" i="7" s="1"/>
  <c r="G8" i="7"/>
  <c r="N226" i="1" s="1"/>
  <c r="G9" i="7"/>
  <c r="G7" i="7"/>
  <c r="G16" i="7"/>
  <c r="H16" i="7" s="1"/>
  <c r="G12" i="7"/>
  <c r="H12" i="7" s="1"/>
  <c r="G6" i="7"/>
  <c r="G19" i="7"/>
  <c r="H19" i="7" s="1"/>
  <c r="G15" i="7"/>
  <c r="H15" i="7" s="1"/>
  <c r="G11" i="7"/>
  <c r="H11" i="7" s="1"/>
  <c r="L124" i="1"/>
  <c r="M124" i="1" s="1"/>
  <c r="N124" i="1" s="1"/>
  <c r="O124" i="1" s="1"/>
  <c r="C121" i="9"/>
  <c r="G10" i="7"/>
  <c r="H10" i="7" s="1"/>
  <c r="C165" i="9"/>
  <c r="F172" i="1"/>
  <c r="H172" i="1" s="1"/>
  <c r="G5" i="7"/>
  <c r="G17" i="7"/>
  <c r="H17" i="7" s="1"/>
  <c r="N34" i="3"/>
  <c r="L75" i="1"/>
  <c r="E41" i="3"/>
  <c r="M39" i="3"/>
  <c r="N13" i="3" l="1"/>
  <c r="H8" i="7"/>
  <c r="N261" i="1"/>
  <c r="N227" i="1"/>
  <c r="K226" i="1"/>
  <c r="H5" i="7"/>
  <c r="H121" i="9"/>
  <c r="N121" i="9"/>
  <c r="O121" i="9"/>
  <c r="J121" i="9"/>
  <c r="I121" i="9"/>
  <c r="P121" i="9"/>
  <c r="K121" i="9"/>
  <c r="M121" i="9"/>
  <c r="L121" i="9"/>
  <c r="G121" i="9"/>
  <c r="M226" i="1"/>
  <c r="H7" i="7"/>
  <c r="O165" i="9"/>
  <c r="O169" i="9" s="1"/>
  <c r="J165" i="9"/>
  <c r="J169" i="9" s="1"/>
  <c r="E165" i="9"/>
  <c r="E169" i="9" s="1"/>
  <c r="H165" i="9"/>
  <c r="H169" i="9" s="1"/>
  <c r="I165" i="9"/>
  <c r="I169" i="9" s="1"/>
  <c r="P165" i="9"/>
  <c r="P169" i="9" s="1"/>
  <c r="K165" i="9"/>
  <c r="K169" i="9" s="1"/>
  <c r="F165" i="9"/>
  <c r="F169" i="9" s="1"/>
  <c r="N165" i="9"/>
  <c r="N169" i="9" s="1"/>
  <c r="L165" i="9"/>
  <c r="L169" i="9" s="1"/>
  <c r="G165" i="9"/>
  <c r="G169" i="9" s="1"/>
  <c r="M165" i="9"/>
  <c r="M169" i="9" s="1"/>
  <c r="C169" i="9"/>
  <c r="L226" i="1"/>
  <c r="H6" i="7"/>
  <c r="O226" i="1"/>
  <c r="H9" i="7"/>
  <c r="O34" i="3"/>
  <c r="M75" i="1"/>
  <c r="O13" i="3"/>
  <c r="M64" i="1"/>
  <c r="N39" i="3"/>
  <c r="L80" i="1"/>
  <c r="L82" i="1" s="1"/>
  <c r="L17" i="4"/>
  <c r="C14" i="4"/>
  <c r="L14" i="4" s="1"/>
  <c r="C13" i="4"/>
  <c r="C12" i="4"/>
  <c r="N11" i="4"/>
  <c r="O11" i="4" s="1"/>
  <c r="N10" i="4"/>
  <c r="O10" i="4" s="1"/>
  <c r="N9" i="4"/>
  <c r="N8" i="4"/>
  <c r="I82" i="1" l="1"/>
  <c r="K261" i="1"/>
  <c r="K227" i="1"/>
  <c r="R121" i="9"/>
  <c r="R169" i="9"/>
  <c r="C222" i="9"/>
  <c r="F261" i="1"/>
  <c r="L261" i="1"/>
  <c r="L227" i="1"/>
  <c r="M261" i="1"/>
  <c r="M227" i="1"/>
  <c r="O261" i="1"/>
  <c r="O227" i="1"/>
  <c r="R165" i="9"/>
  <c r="F82" i="1"/>
  <c r="C78" i="9"/>
  <c r="P34" i="3"/>
  <c r="O75" i="1" s="1"/>
  <c r="N75" i="1"/>
  <c r="P13" i="3"/>
  <c r="N64" i="1"/>
  <c r="O39" i="3"/>
  <c r="M80" i="1"/>
  <c r="M82" i="1" s="1"/>
  <c r="F16" i="4"/>
  <c r="H16" i="4" s="1"/>
  <c r="H17" i="4" s="1"/>
  <c r="O8" i="4"/>
  <c r="F9" i="4"/>
  <c r="F8" i="4"/>
  <c r="M15" i="4"/>
  <c r="N15" i="4" s="1"/>
  <c r="F10" i="4"/>
  <c r="M16" i="4"/>
  <c r="N16" i="4" s="1"/>
  <c r="O16" i="4" s="1"/>
  <c r="F14" i="4"/>
  <c r="F13" i="4"/>
  <c r="O9" i="4"/>
  <c r="F12" i="4"/>
  <c r="H227" i="1" l="1"/>
  <c r="R222" i="9"/>
  <c r="C223" i="9"/>
  <c r="R223" i="9" s="1"/>
  <c r="C80" i="9"/>
  <c r="I78" i="9"/>
  <c r="I80" i="9" s="1"/>
  <c r="G78" i="9"/>
  <c r="G80" i="9" s="1"/>
  <c r="M78" i="9"/>
  <c r="M80" i="9" s="1"/>
  <c r="O78" i="9"/>
  <c r="O80" i="9" s="1"/>
  <c r="P78" i="9"/>
  <c r="P80" i="9" s="1"/>
  <c r="J78" i="9"/>
  <c r="J80" i="9" s="1"/>
  <c r="L78" i="9"/>
  <c r="L80" i="9" s="1"/>
  <c r="H78" i="9"/>
  <c r="H80" i="9" s="1"/>
  <c r="N78" i="9"/>
  <c r="N80" i="9" s="1"/>
  <c r="K78" i="9"/>
  <c r="K80" i="9" s="1"/>
  <c r="O64" i="1"/>
  <c r="P39" i="3"/>
  <c r="N80" i="1"/>
  <c r="N82" i="1" s="1"/>
  <c r="F17" i="4"/>
  <c r="I16" i="4"/>
  <c r="I17" i="4" s="1"/>
  <c r="P10" i="4" s="1"/>
  <c r="O12" i="4"/>
  <c r="I9" i="4"/>
  <c r="H9" i="4"/>
  <c r="H12" i="4"/>
  <c r="F15" i="4"/>
  <c r="I12" i="4"/>
  <c r="O15" i="4"/>
  <c r="N17" i="4"/>
  <c r="H13" i="4"/>
  <c r="I13" i="4"/>
  <c r="H14" i="4"/>
  <c r="I14" i="4"/>
  <c r="I10" i="4"/>
  <c r="H10" i="4"/>
  <c r="H8" i="4"/>
  <c r="F11" i="4"/>
  <c r="I8" i="4"/>
  <c r="R78" i="9" l="1"/>
  <c r="R80" i="9"/>
  <c r="O80" i="1"/>
  <c r="O82" i="1" s="1"/>
  <c r="H15" i="4"/>
  <c r="I15" i="4"/>
  <c r="H11" i="4"/>
  <c r="O17" i="4"/>
  <c r="I11" i="4"/>
  <c r="F201" i="1" l="1"/>
  <c r="H201" i="1" s="1"/>
  <c r="P8" i="4"/>
  <c r="I18" i="4"/>
  <c r="H18" i="4"/>
  <c r="P9" i="4"/>
  <c r="P12" i="4" l="1"/>
  <c r="B20" i="4"/>
  <c r="B21" i="4" s="1"/>
  <c r="F64" i="1" l="1"/>
  <c r="G64" i="1" s="1"/>
  <c r="H64" i="1" s="1"/>
  <c r="F76" i="1"/>
  <c r="G76" i="1" s="1"/>
  <c r="H76" i="1" s="1"/>
  <c r="F75" i="1"/>
  <c r="G75" i="1" s="1"/>
  <c r="H75" i="1" s="1"/>
  <c r="M23" i="3"/>
  <c r="N23" i="3" s="1"/>
  <c r="O23" i="3" s="1"/>
  <c r="P23" i="3" s="1"/>
  <c r="M17" i="3"/>
  <c r="N17" i="3" s="1"/>
  <c r="O17" i="3" s="1"/>
  <c r="P17" i="3" s="1"/>
  <c r="L22" i="3"/>
  <c r="F62" i="1"/>
  <c r="G62" i="1" s="1"/>
  <c r="H62" i="1" s="1"/>
  <c r="G10" i="3"/>
  <c r="M8" i="3"/>
  <c r="G6" i="3"/>
  <c r="C74" i="9" l="1"/>
  <c r="P74" i="9" s="1"/>
  <c r="C68" i="9"/>
  <c r="P68" i="9" s="1"/>
  <c r="C64" i="9"/>
  <c r="H64" i="9" s="1"/>
  <c r="C67" i="9"/>
  <c r="E67" i="9" s="1"/>
  <c r="C65" i="9"/>
  <c r="K65" i="9" s="1"/>
  <c r="C63" i="9"/>
  <c r="N63" i="9" s="1"/>
  <c r="C73" i="9"/>
  <c r="G73" i="9" s="1"/>
  <c r="C66" i="9"/>
  <c r="J66" i="9" s="1"/>
  <c r="C72" i="9"/>
  <c r="Q72" i="9" s="1"/>
  <c r="M9" i="3"/>
  <c r="L61" i="1" s="1"/>
  <c r="K61" i="1"/>
  <c r="K69" i="1" s="1"/>
  <c r="T9" i="3"/>
  <c r="F77" i="1"/>
  <c r="G77" i="1" s="1"/>
  <c r="H77" i="1" s="1"/>
  <c r="T36" i="3"/>
  <c r="K77" i="1"/>
  <c r="M22" i="3"/>
  <c r="L71" i="1" s="1"/>
  <c r="L78" i="1" s="1"/>
  <c r="T22" i="3"/>
  <c r="K71" i="1"/>
  <c r="C60" i="9"/>
  <c r="N60" i="9" s="1"/>
  <c r="L60" i="1"/>
  <c r="N8" i="3"/>
  <c r="L41" i="3"/>
  <c r="F194" i="1" s="1"/>
  <c r="L40" i="3"/>
  <c r="W21" i="6" s="1"/>
  <c r="F61" i="1"/>
  <c r="F71" i="1"/>
  <c r="G71" i="1" s="1"/>
  <c r="H71" i="1" l="1"/>
  <c r="G61" i="1"/>
  <c r="G67" i="9"/>
  <c r="H67" i="9"/>
  <c r="J67" i="9"/>
  <c r="L74" i="9"/>
  <c r="O67" i="9"/>
  <c r="F67" i="9"/>
  <c r="L67" i="9"/>
  <c r="M67" i="9"/>
  <c r="I67" i="9"/>
  <c r="N67" i="9"/>
  <c r="P67" i="9"/>
  <c r="F63" i="9"/>
  <c r="J73" i="9"/>
  <c r="J63" i="9"/>
  <c r="P64" i="9"/>
  <c r="N64" i="9"/>
  <c r="F64" i="9"/>
  <c r="O73" i="9"/>
  <c r="M74" i="9"/>
  <c r="P73" i="9"/>
  <c r="L64" i="9"/>
  <c r="Q74" i="9"/>
  <c r="Q73" i="9"/>
  <c r="M73" i="9"/>
  <c r="F73" i="9"/>
  <c r="G74" i="9"/>
  <c r="O74" i="9"/>
  <c r="H74" i="9"/>
  <c r="L73" i="9"/>
  <c r="J74" i="9"/>
  <c r="N74" i="9"/>
  <c r="K74" i="9"/>
  <c r="H73" i="9"/>
  <c r="F74" i="9"/>
  <c r="I74" i="9"/>
  <c r="K63" i="9"/>
  <c r="L63" i="9"/>
  <c r="K67" i="9"/>
  <c r="K73" i="9"/>
  <c r="P63" i="9"/>
  <c r="O63" i="9"/>
  <c r="H65" i="9"/>
  <c r="I63" i="9"/>
  <c r="M63" i="9"/>
  <c r="I73" i="9"/>
  <c r="G63" i="9"/>
  <c r="M64" i="9"/>
  <c r="E63" i="9"/>
  <c r="H63" i="9"/>
  <c r="N73" i="9"/>
  <c r="E64" i="9"/>
  <c r="O65" i="9"/>
  <c r="K72" i="9"/>
  <c r="J68" i="9"/>
  <c r="J72" i="9"/>
  <c r="N65" i="9"/>
  <c r="G65" i="9"/>
  <c r="F72" i="9"/>
  <c r="E65" i="9"/>
  <c r="M65" i="9"/>
  <c r="I64" i="9"/>
  <c r="K64" i="9"/>
  <c r="O64" i="9"/>
  <c r="J65" i="9"/>
  <c r="P65" i="9"/>
  <c r="I65" i="9"/>
  <c r="G72" i="9"/>
  <c r="I72" i="9"/>
  <c r="G64" i="9"/>
  <c r="J64" i="9"/>
  <c r="L65" i="9"/>
  <c r="F65" i="9"/>
  <c r="M72" i="9"/>
  <c r="K66" i="9"/>
  <c r="L68" i="9"/>
  <c r="H72" i="9"/>
  <c r="E66" i="9"/>
  <c r="E68" i="9"/>
  <c r="O66" i="9"/>
  <c r="O72" i="9"/>
  <c r="N72" i="9"/>
  <c r="C61" i="9"/>
  <c r="F61" i="9" s="1"/>
  <c r="N68" i="9"/>
  <c r="K68" i="9"/>
  <c r="G66" i="9"/>
  <c r="I66" i="9"/>
  <c r="P66" i="9"/>
  <c r="I195" i="1"/>
  <c r="O68" i="9"/>
  <c r="F68" i="9"/>
  <c r="G68" i="9"/>
  <c r="M66" i="9"/>
  <c r="H66" i="9"/>
  <c r="F66" i="9"/>
  <c r="I68" i="9"/>
  <c r="C62" i="9"/>
  <c r="I62" i="9" s="1"/>
  <c r="H68" i="9"/>
  <c r="M68" i="9"/>
  <c r="P72" i="9"/>
  <c r="L72" i="9"/>
  <c r="N66" i="9"/>
  <c r="L66" i="9"/>
  <c r="C75" i="9"/>
  <c r="I75" i="9" s="1"/>
  <c r="F69" i="1"/>
  <c r="F78" i="1"/>
  <c r="H78" i="1" s="1"/>
  <c r="K78" i="1"/>
  <c r="K87" i="1" s="1"/>
  <c r="N22" i="3"/>
  <c r="O22" i="3" s="1"/>
  <c r="N9" i="3"/>
  <c r="O9" i="3" s="1"/>
  <c r="M40" i="3"/>
  <c r="M41" i="3"/>
  <c r="L114" i="1" s="1"/>
  <c r="L127" i="1" s="1"/>
  <c r="K194" i="1"/>
  <c r="K195" i="1" s="1"/>
  <c r="K3" i="1"/>
  <c r="T41" i="3"/>
  <c r="T40" i="3"/>
  <c r="K60" i="9"/>
  <c r="O60" i="9"/>
  <c r="J60" i="9"/>
  <c r="E60" i="9"/>
  <c r="F60" i="9"/>
  <c r="G60" i="9"/>
  <c r="H60" i="9"/>
  <c r="P60" i="9"/>
  <c r="I60" i="9"/>
  <c r="M60" i="9"/>
  <c r="L60" i="9"/>
  <c r="L98" i="1"/>
  <c r="Q114" i="1"/>
  <c r="L69" i="1"/>
  <c r="L87" i="1" s="1"/>
  <c r="O8" i="3"/>
  <c r="M60" i="1"/>
  <c r="C71" i="9"/>
  <c r="W19" i="6"/>
  <c r="AI54" i="6" s="1"/>
  <c r="AQ72" i="6" s="1"/>
  <c r="M71" i="1"/>
  <c r="M78" i="1" s="1"/>
  <c r="N40" i="3"/>
  <c r="AJ61" i="6"/>
  <c r="AL61" i="6" s="1"/>
  <c r="AQ61" i="6" s="1"/>
  <c r="AJ57" i="6"/>
  <c r="AL57" i="6" s="1"/>
  <c r="AN57" i="6" s="1"/>
  <c r="AQ57" i="6" s="1"/>
  <c r="W27" i="6" s="1"/>
  <c r="AJ66" i="6"/>
  <c r="AQ66" i="6" s="1"/>
  <c r="F114" i="1"/>
  <c r="G114" i="1" s="1"/>
  <c r="C13" i="2"/>
  <c r="Q20" i="2"/>
  <c r="Q19" i="2"/>
  <c r="P19" i="2"/>
  <c r="Q18" i="2"/>
  <c r="P18" i="2"/>
  <c r="O18" i="2"/>
  <c r="Q17" i="2"/>
  <c r="P17" i="2"/>
  <c r="O17" i="2"/>
  <c r="N17" i="2"/>
  <c r="Q16" i="2"/>
  <c r="P16" i="2"/>
  <c r="O16" i="2"/>
  <c r="N16" i="2"/>
  <c r="Q15" i="2"/>
  <c r="P15" i="2"/>
  <c r="O15" i="2"/>
  <c r="N15" i="2"/>
  <c r="G11" i="2"/>
  <c r="F11" i="2"/>
  <c r="E11" i="2"/>
  <c r="D11" i="2"/>
  <c r="C11" i="2"/>
  <c r="Q10" i="2"/>
  <c r="Q9" i="2"/>
  <c r="P9" i="2"/>
  <c r="Q8" i="2"/>
  <c r="P8" i="2"/>
  <c r="O8" i="2"/>
  <c r="J8" i="2"/>
  <c r="Q7" i="2"/>
  <c r="P7" i="2"/>
  <c r="O7" i="2"/>
  <c r="N7" i="2"/>
  <c r="Q6" i="2"/>
  <c r="P6" i="2"/>
  <c r="O6" i="2"/>
  <c r="N6" i="2"/>
  <c r="M6" i="2"/>
  <c r="Q5" i="2"/>
  <c r="P5" i="2"/>
  <c r="O5" i="2"/>
  <c r="N5" i="2"/>
  <c r="L9" i="1"/>
  <c r="C90" i="9"/>
  <c r="R90" i="9" s="1"/>
  <c r="C89" i="9"/>
  <c r="R89" i="9" s="1"/>
  <c r="C88" i="9"/>
  <c r="R88" i="9" s="1"/>
  <c r="C87" i="9"/>
  <c r="R87" i="9" s="1"/>
  <c r="C86" i="9"/>
  <c r="R86" i="9" s="1"/>
  <c r="H61" i="1" l="1"/>
  <c r="H114" i="1"/>
  <c r="I78" i="1"/>
  <c r="H69" i="1"/>
  <c r="R67" i="9"/>
  <c r="R73" i="9"/>
  <c r="R74" i="9"/>
  <c r="R63" i="9"/>
  <c r="H61" i="9"/>
  <c r="I69" i="1"/>
  <c r="J61" i="9"/>
  <c r="K61" i="9"/>
  <c r="G61" i="9"/>
  <c r="I61" i="9"/>
  <c r="I69" i="9" s="1"/>
  <c r="M61" i="9"/>
  <c r="N61" i="9"/>
  <c r="P61" i="9"/>
  <c r="L61" i="9"/>
  <c r="O61" i="9"/>
  <c r="E61" i="9"/>
  <c r="L75" i="9"/>
  <c r="R64" i="9"/>
  <c r="R65" i="9"/>
  <c r="G62" i="9"/>
  <c r="Q75" i="9"/>
  <c r="R72" i="9"/>
  <c r="M62" i="9"/>
  <c r="K62" i="9"/>
  <c r="C69" i="9"/>
  <c r="N75" i="9"/>
  <c r="G75" i="9"/>
  <c r="L62" i="9"/>
  <c r="P62" i="9"/>
  <c r="O62" i="9"/>
  <c r="J62" i="9"/>
  <c r="J69" i="9" s="1"/>
  <c r="F62" i="9"/>
  <c r="F69" i="9" s="1"/>
  <c r="N62" i="9"/>
  <c r="P75" i="9"/>
  <c r="K75" i="9"/>
  <c r="R68" i="9"/>
  <c r="R66" i="9"/>
  <c r="E62" i="9"/>
  <c r="H62" i="9"/>
  <c r="H75" i="9"/>
  <c r="F75" i="9"/>
  <c r="O75" i="9"/>
  <c r="K114" i="1"/>
  <c r="K127" i="1" s="1"/>
  <c r="I127" i="1"/>
  <c r="J75" i="9"/>
  <c r="M75" i="9"/>
  <c r="F4" i="1"/>
  <c r="G4" i="1" s="1"/>
  <c r="M61" i="1"/>
  <c r="M69" i="1" s="1"/>
  <c r="M87" i="1" s="1"/>
  <c r="K4" i="1"/>
  <c r="K5" i="1"/>
  <c r="N41" i="3"/>
  <c r="M114" i="1" s="1"/>
  <c r="M127" i="1" s="1"/>
  <c r="M98" i="1"/>
  <c r="L3" i="1"/>
  <c r="C191" i="9"/>
  <c r="K191" i="9" s="1"/>
  <c r="K192" i="9" s="1"/>
  <c r="K85" i="1"/>
  <c r="K86" i="1"/>
  <c r="L85" i="1"/>
  <c r="L108" i="1"/>
  <c r="L110" i="1" s="1"/>
  <c r="L86" i="1"/>
  <c r="L101" i="1"/>
  <c r="R60" i="9"/>
  <c r="O11" i="2"/>
  <c r="E17" i="2" s="1"/>
  <c r="D14" i="2"/>
  <c r="L4" i="1"/>
  <c r="L181" i="1"/>
  <c r="L183" i="1" s="1"/>
  <c r="L174" i="1"/>
  <c r="L175" i="1" s="1"/>
  <c r="L5" i="1"/>
  <c r="L18" i="1" s="1"/>
  <c r="L145" i="1"/>
  <c r="L142" i="1"/>
  <c r="L143" i="1" s="1"/>
  <c r="D12" i="2"/>
  <c r="Q21" i="2"/>
  <c r="E14" i="2"/>
  <c r="M145" i="1"/>
  <c r="M142" i="1"/>
  <c r="M143" i="1" s="1"/>
  <c r="E12" i="2"/>
  <c r="M181" i="1"/>
  <c r="M183" i="1" s="1"/>
  <c r="M174" i="1"/>
  <c r="M175" i="1" s="1"/>
  <c r="M5" i="1"/>
  <c r="M4" i="1"/>
  <c r="N21" i="2"/>
  <c r="P9" i="3"/>
  <c r="O61" i="1" s="1"/>
  <c r="N61" i="1"/>
  <c r="G14" i="2"/>
  <c r="O181" i="1"/>
  <c r="O183" i="1" s="1"/>
  <c r="O174" i="1"/>
  <c r="O175" i="1" s="1"/>
  <c r="O5" i="1"/>
  <c r="O4" i="1"/>
  <c r="O145" i="1"/>
  <c r="O142" i="1"/>
  <c r="O143" i="1" s="1"/>
  <c r="G12" i="2"/>
  <c r="F14" i="2"/>
  <c r="N5" i="1"/>
  <c r="N4" i="1"/>
  <c r="N145" i="1"/>
  <c r="N142" i="1"/>
  <c r="N143" i="1" s="1"/>
  <c r="F12" i="2"/>
  <c r="N181" i="1"/>
  <c r="N183" i="1" s="1"/>
  <c r="N174" i="1"/>
  <c r="N175" i="1" s="1"/>
  <c r="P8" i="3"/>
  <c r="O60" i="1" s="1"/>
  <c r="N60" i="1"/>
  <c r="F254" i="1"/>
  <c r="C236" i="9"/>
  <c r="P236" i="9" s="1"/>
  <c r="P240" i="9" s="1"/>
  <c r="P11" i="9" s="1"/>
  <c r="F127" i="1"/>
  <c r="C112" i="9"/>
  <c r="F85" i="1"/>
  <c r="G85" i="1" s="1"/>
  <c r="J71" i="9"/>
  <c r="Q71" i="9"/>
  <c r="L71" i="9"/>
  <c r="G71" i="9"/>
  <c r="C76" i="9"/>
  <c r="M71" i="9"/>
  <c r="O71" i="9"/>
  <c r="N71" i="9"/>
  <c r="I71" i="9"/>
  <c r="I76" i="9" s="1"/>
  <c r="K71" i="9"/>
  <c r="P71" i="9"/>
  <c r="H71" i="9"/>
  <c r="F71" i="9"/>
  <c r="V240" i="1"/>
  <c r="F229" i="1" s="1"/>
  <c r="G229" i="1" s="1"/>
  <c r="I229" i="1" s="1"/>
  <c r="P22" i="3"/>
  <c r="N71" i="1"/>
  <c r="N78" i="1" s="1"/>
  <c r="O41" i="3"/>
  <c r="O40" i="3"/>
  <c r="F86" i="1"/>
  <c r="G86" i="1" s="1"/>
  <c r="H86" i="1" s="1"/>
  <c r="F87" i="1"/>
  <c r="G87" i="1" s="1"/>
  <c r="C99" i="9"/>
  <c r="E99" i="9" s="1"/>
  <c r="M9" i="1"/>
  <c r="B14" i="1"/>
  <c r="F195" i="1"/>
  <c r="H195" i="1" s="1"/>
  <c r="M11" i="2"/>
  <c r="M21" i="2"/>
  <c r="F145" i="1"/>
  <c r="AR66" i="6"/>
  <c r="W31" i="6"/>
  <c r="AR57" i="6"/>
  <c r="AQ68" i="6"/>
  <c r="AR61" i="6"/>
  <c r="W29" i="6"/>
  <c r="W33" i="6"/>
  <c r="AR72" i="6"/>
  <c r="C14" i="2"/>
  <c r="Q11" i="2"/>
  <c r="P11" i="2"/>
  <c r="O21" i="2"/>
  <c r="N11" i="2"/>
  <c r="L6" i="1" s="1"/>
  <c r="P21" i="2"/>
  <c r="H85" i="1" l="1"/>
  <c r="G111" i="1"/>
  <c r="E7" i="20" s="1"/>
  <c r="H229" i="1"/>
  <c r="G260" i="1"/>
  <c r="G231" i="1"/>
  <c r="P69" i="9"/>
  <c r="J29" i="19"/>
  <c r="L29" i="19"/>
  <c r="H127" i="1"/>
  <c r="H69" i="9"/>
  <c r="O69" i="9"/>
  <c r="E69" i="9"/>
  <c r="E83" i="9" s="1"/>
  <c r="K69" i="9"/>
  <c r="L76" i="9"/>
  <c r="N76" i="9"/>
  <c r="G69" i="9"/>
  <c r="N69" i="9"/>
  <c r="M69" i="9"/>
  <c r="R61" i="9"/>
  <c r="L69" i="9"/>
  <c r="P76" i="9"/>
  <c r="O76" i="9"/>
  <c r="F76" i="9"/>
  <c r="F83" i="9" s="1"/>
  <c r="Q76" i="9"/>
  <c r="Q85" i="9" s="1"/>
  <c r="G76" i="9"/>
  <c r="H76" i="9"/>
  <c r="R75" i="9"/>
  <c r="R62" i="9"/>
  <c r="K76" i="9"/>
  <c r="M76" i="9"/>
  <c r="F257" i="1"/>
  <c r="H254" i="1"/>
  <c r="C106" i="9"/>
  <c r="C108" i="9" s="1"/>
  <c r="I110" i="1"/>
  <c r="C84" i="9"/>
  <c r="K229" i="1"/>
  <c r="K260" i="1" s="1"/>
  <c r="J76" i="9"/>
  <c r="J84" i="9" s="1"/>
  <c r="C85" i="9"/>
  <c r="C83" i="9"/>
  <c r="M3" i="1"/>
  <c r="N98" i="1"/>
  <c r="K31" i="1"/>
  <c r="K18" i="1"/>
  <c r="K30" i="1"/>
  <c r="K25" i="1"/>
  <c r="K22" i="1"/>
  <c r="K23" i="1"/>
  <c r="K21" i="1"/>
  <c r="F26" i="1"/>
  <c r="F25" i="1"/>
  <c r="K26" i="1"/>
  <c r="F18" i="1"/>
  <c r="K6" i="1"/>
  <c r="C17" i="2"/>
  <c r="C139" i="9"/>
  <c r="K139" i="9" s="1"/>
  <c r="K140" i="9" s="1"/>
  <c r="K142" i="1"/>
  <c r="K143" i="1" s="1"/>
  <c r="C142" i="9"/>
  <c r="G142" i="9" s="1"/>
  <c r="G146" i="9" s="1"/>
  <c r="K145" i="1"/>
  <c r="E191" i="9"/>
  <c r="E192" i="9" s="1"/>
  <c r="J191" i="9"/>
  <c r="J192" i="9" s="1"/>
  <c r="L191" i="9"/>
  <c r="L192" i="9" s="1"/>
  <c r="G191" i="9"/>
  <c r="G192" i="9" s="1"/>
  <c r="P191" i="9"/>
  <c r="P192" i="9" s="1"/>
  <c r="M191" i="9"/>
  <c r="M192" i="9" s="1"/>
  <c r="F191" i="9"/>
  <c r="F192" i="9" s="1"/>
  <c r="H191" i="9"/>
  <c r="H192" i="9" s="1"/>
  <c r="C192" i="9"/>
  <c r="I191" i="9"/>
  <c r="I192" i="9" s="1"/>
  <c r="O191" i="9"/>
  <c r="O192" i="9" s="1"/>
  <c r="N191" i="9"/>
  <c r="N192" i="9" s="1"/>
  <c r="M86" i="1"/>
  <c r="K96" i="1"/>
  <c r="F7" i="1"/>
  <c r="K7" i="1"/>
  <c r="L96" i="1"/>
  <c r="M101" i="1"/>
  <c r="M108" i="1"/>
  <c r="M110" i="1" s="1"/>
  <c r="M85" i="1"/>
  <c r="M6" i="1"/>
  <c r="F143" i="1"/>
  <c r="N69" i="1"/>
  <c r="N86" i="1" s="1"/>
  <c r="E20" i="2"/>
  <c r="M7" i="1"/>
  <c r="M29" i="1" s="1"/>
  <c r="C20" i="2"/>
  <c r="F175" i="1"/>
  <c r="H175" i="1" s="1"/>
  <c r="C171" i="9"/>
  <c r="Q19" i="1"/>
  <c r="N30" i="1"/>
  <c r="N31" i="1"/>
  <c r="D20" i="2"/>
  <c r="L7" i="1"/>
  <c r="L29" i="1" s="1"/>
  <c r="L133" i="1"/>
  <c r="L22" i="1"/>
  <c r="L137" i="1" s="1"/>
  <c r="L21" i="1"/>
  <c r="L148" i="1" s="1"/>
  <c r="L149" i="1" s="1"/>
  <c r="L33" i="1"/>
  <c r="L23" i="1"/>
  <c r="L138" i="1" s="1"/>
  <c r="G17" i="2"/>
  <c r="O6" i="1"/>
  <c r="N33" i="1"/>
  <c r="N23" i="1"/>
  <c r="N138" i="1" s="1"/>
  <c r="N21" i="1"/>
  <c r="N148" i="1" s="1"/>
  <c r="N149" i="1" s="1"/>
  <c r="N22" i="1"/>
  <c r="N137" i="1" s="1"/>
  <c r="F17" i="2"/>
  <c r="N6" i="1"/>
  <c r="O69" i="1"/>
  <c r="O21" i="1"/>
  <c r="O148" i="1" s="1"/>
  <c r="O149" i="1" s="1"/>
  <c r="O23" i="1"/>
  <c r="O138" i="1" s="1"/>
  <c r="O33" i="1"/>
  <c r="O22" i="1"/>
  <c r="O137" i="1" s="1"/>
  <c r="M33" i="1"/>
  <c r="M23" i="1"/>
  <c r="M138" i="1" s="1"/>
  <c r="M21" i="1"/>
  <c r="M148" i="1" s="1"/>
  <c r="M149" i="1" s="1"/>
  <c r="M22" i="1"/>
  <c r="M137" i="1" s="1"/>
  <c r="G20" i="2"/>
  <c r="O7" i="1"/>
  <c r="O29" i="1" s="1"/>
  <c r="L30" i="1"/>
  <c r="L31" i="1"/>
  <c r="F183" i="1"/>
  <c r="H183" i="1" s="1"/>
  <c r="C178" i="9"/>
  <c r="F20" i="2"/>
  <c r="N7" i="1"/>
  <c r="N29" i="1" s="1"/>
  <c r="O31" i="1"/>
  <c r="O30" i="1"/>
  <c r="M30" i="1"/>
  <c r="M31" i="1"/>
  <c r="L200" i="1"/>
  <c r="M200" i="1" s="1"/>
  <c r="N200" i="1" s="1"/>
  <c r="O200" i="1" s="1"/>
  <c r="L34" i="1"/>
  <c r="M34" i="1" s="1"/>
  <c r="N34" i="1" s="1"/>
  <c r="O34" i="1" s="1"/>
  <c r="L24" i="1"/>
  <c r="M24" i="1" s="1"/>
  <c r="N24" i="1" s="1"/>
  <c r="O24" i="1" s="1"/>
  <c r="I83" i="9"/>
  <c r="I85" i="9"/>
  <c r="I84" i="9"/>
  <c r="F231" i="1"/>
  <c r="C225" i="9"/>
  <c r="L112" i="9"/>
  <c r="L124" i="9" s="1"/>
  <c r="O112" i="9"/>
  <c r="O124" i="9" s="1"/>
  <c r="I112" i="9"/>
  <c r="I124" i="9" s="1"/>
  <c r="M112" i="9"/>
  <c r="M124" i="9" s="1"/>
  <c r="J112" i="9"/>
  <c r="J124" i="9" s="1"/>
  <c r="K112" i="9"/>
  <c r="K124" i="9" s="1"/>
  <c r="G112" i="9"/>
  <c r="G124" i="9" s="1"/>
  <c r="P112" i="9"/>
  <c r="P124" i="9" s="1"/>
  <c r="F112" i="9"/>
  <c r="F124" i="9" s="1"/>
  <c r="N112" i="9"/>
  <c r="N124" i="9" s="1"/>
  <c r="H112" i="9"/>
  <c r="H124" i="9" s="1"/>
  <c r="E112" i="9"/>
  <c r="E124" i="9" s="1"/>
  <c r="C124" i="9"/>
  <c r="C240" i="9"/>
  <c r="E240" i="9"/>
  <c r="E11" i="9" s="1"/>
  <c r="F110" i="1"/>
  <c r="R71" i="9"/>
  <c r="F260" i="1"/>
  <c r="O98" i="1"/>
  <c r="N3" i="1"/>
  <c r="N114" i="1"/>
  <c r="N127" i="1" s="1"/>
  <c r="O71" i="1"/>
  <c r="O78" i="1" s="1"/>
  <c r="P41" i="3"/>
  <c r="P40" i="3"/>
  <c r="L20" i="1"/>
  <c r="N9" i="1"/>
  <c r="M18" i="1"/>
  <c r="D17" i="2"/>
  <c r="F96" i="1"/>
  <c r="C26" i="9"/>
  <c r="Q26" i="9" s="1"/>
  <c r="F30" i="1"/>
  <c r="F31" i="1"/>
  <c r="C34" i="9"/>
  <c r="F133" i="1"/>
  <c r="G133" i="1" s="1"/>
  <c r="F21" i="1"/>
  <c r="G21" i="1" s="1"/>
  <c r="H21" i="1" s="1"/>
  <c r="F23" i="1"/>
  <c r="G23" i="1" s="1"/>
  <c r="H23" i="1" s="1"/>
  <c r="F22" i="1"/>
  <c r="G22" i="1" s="1"/>
  <c r="H22" i="1" s="1"/>
  <c r="AR68" i="6"/>
  <c r="AR75" i="6" s="1"/>
  <c r="X29" i="6"/>
  <c r="W40" i="6"/>
  <c r="W38" i="6"/>
  <c r="X27" i="6"/>
  <c r="X31" i="6"/>
  <c r="W42" i="6"/>
  <c r="X33" i="6"/>
  <c r="W44" i="6"/>
  <c r="E16" i="20" l="1"/>
  <c r="F7" i="20"/>
  <c r="B64" i="20"/>
  <c r="K84" i="9"/>
  <c r="H133" i="1"/>
  <c r="C30" i="9"/>
  <c r="K30" i="9" s="1"/>
  <c r="G7" i="1"/>
  <c r="H85" i="9"/>
  <c r="M29" i="19"/>
  <c r="P85" i="9"/>
  <c r="H231" i="1"/>
  <c r="K83" i="9"/>
  <c r="P84" i="9"/>
  <c r="H143" i="1"/>
  <c r="F20" i="1"/>
  <c r="G20" i="1" s="1"/>
  <c r="C32" i="9"/>
  <c r="Q32" i="9" s="1"/>
  <c r="H96" i="1"/>
  <c r="C27" i="9"/>
  <c r="Q27" i="9" s="1"/>
  <c r="Q28" i="9" s="1"/>
  <c r="C31" i="9"/>
  <c r="K31" i="9" s="1"/>
  <c r="I19" i="19"/>
  <c r="K231" i="1"/>
  <c r="I96" i="1"/>
  <c r="I111" i="1" s="1"/>
  <c r="F85" i="9"/>
  <c r="F84" i="9"/>
  <c r="E84" i="9"/>
  <c r="E85" i="9"/>
  <c r="L84" i="9"/>
  <c r="P83" i="9"/>
  <c r="N85" i="9"/>
  <c r="R76" i="9"/>
  <c r="Q83" i="9"/>
  <c r="O83" i="9"/>
  <c r="L85" i="9"/>
  <c r="G85" i="9"/>
  <c r="N84" i="9"/>
  <c r="N83" i="9"/>
  <c r="G83" i="9"/>
  <c r="G84" i="9"/>
  <c r="L83" i="9"/>
  <c r="O85" i="9"/>
  <c r="O84" i="9"/>
  <c r="R69" i="9"/>
  <c r="M84" i="9"/>
  <c r="H84" i="9"/>
  <c r="Q84" i="9"/>
  <c r="H83" i="9"/>
  <c r="C94" i="9"/>
  <c r="K85" i="9"/>
  <c r="M83" i="9"/>
  <c r="M85" i="9"/>
  <c r="Q106" i="9"/>
  <c r="Q108" i="9" s="1"/>
  <c r="J85" i="9"/>
  <c r="J83" i="9"/>
  <c r="I231" i="1"/>
  <c r="I260" i="1"/>
  <c r="K36" i="1"/>
  <c r="K19" i="1"/>
  <c r="K27" i="1" s="1"/>
  <c r="C19" i="9"/>
  <c r="O139" i="9"/>
  <c r="O140" i="9" s="1"/>
  <c r="C140" i="9"/>
  <c r="L139" i="9"/>
  <c r="L140" i="9" s="1"/>
  <c r="N142" i="9"/>
  <c r="N146" i="9" s="1"/>
  <c r="J142" i="9"/>
  <c r="J146" i="9" s="1"/>
  <c r="L142" i="9"/>
  <c r="L146" i="9" s="1"/>
  <c r="F142" i="9"/>
  <c r="F146" i="9" s="1"/>
  <c r="P139" i="9"/>
  <c r="P140" i="9" s="1"/>
  <c r="I139" i="9"/>
  <c r="I140" i="9" s="1"/>
  <c r="M142" i="9"/>
  <c r="M146" i="9" s="1"/>
  <c r="G139" i="9"/>
  <c r="G140" i="9" s="1"/>
  <c r="P142" i="9"/>
  <c r="P146" i="9" s="1"/>
  <c r="J139" i="9"/>
  <c r="J140" i="9" s="1"/>
  <c r="M139" i="9"/>
  <c r="M140" i="9" s="1"/>
  <c r="N139" i="9"/>
  <c r="N140" i="9" s="1"/>
  <c r="F139" i="9"/>
  <c r="F140" i="9" s="1"/>
  <c r="H139" i="9"/>
  <c r="H140" i="9" s="1"/>
  <c r="O142" i="9"/>
  <c r="O146" i="9" s="1"/>
  <c r="K142" i="9"/>
  <c r="K146" i="9" s="1"/>
  <c r="H142" i="9"/>
  <c r="H146" i="9" s="1"/>
  <c r="I142" i="9"/>
  <c r="I146" i="9" s="1"/>
  <c r="M19" i="1"/>
  <c r="C130" i="9"/>
  <c r="F130" i="9" s="1"/>
  <c r="F137" i="9" s="1"/>
  <c r="K133" i="1"/>
  <c r="N101" i="1"/>
  <c r="R192" i="9"/>
  <c r="N85" i="1"/>
  <c r="N87" i="1"/>
  <c r="N108" i="1"/>
  <c r="N110" i="1" s="1"/>
  <c r="R191" i="9"/>
  <c r="M96" i="1"/>
  <c r="N36" i="1"/>
  <c r="N19" i="1"/>
  <c r="M178" i="9"/>
  <c r="M180" i="9" s="1"/>
  <c r="H178" i="9"/>
  <c r="H180" i="9" s="1"/>
  <c r="N178" i="9"/>
  <c r="N180" i="9" s="1"/>
  <c r="C180" i="9"/>
  <c r="I178" i="9"/>
  <c r="I180" i="9" s="1"/>
  <c r="O178" i="9"/>
  <c r="O180" i="9" s="1"/>
  <c r="J178" i="9"/>
  <c r="J180" i="9" s="1"/>
  <c r="G178" i="9"/>
  <c r="G180" i="9" s="1"/>
  <c r="P178" i="9"/>
  <c r="P180" i="9" s="1"/>
  <c r="K178" i="9"/>
  <c r="K180" i="9" s="1"/>
  <c r="L178" i="9"/>
  <c r="L180" i="9" s="1"/>
  <c r="F148" i="1"/>
  <c r="G148" i="1" s="1"/>
  <c r="C22" i="9"/>
  <c r="M36" i="1"/>
  <c r="F138" i="1"/>
  <c r="G138" i="1" s="1"/>
  <c r="H138" i="1" s="1"/>
  <c r="C24" i="9"/>
  <c r="C6" i="9" s="1"/>
  <c r="M133" i="1"/>
  <c r="L140" i="1"/>
  <c r="G171" i="9"/>
  <c r="G172" i="9" s="1"/>
  <c r="C172" i="9"/>
  <c r="F137" i="1"/>
  <c r="G137" i="1" s="1"/>
  <c r="H137" i="1" s="1"/>
  <c r="C23" i="9"/>
  <c r="F37" i="9"/>
  <c r="F54" i="9" s="1"/>
  <c r="Q34" i="9"/>
  <c r="O36" i="1"/>
  <c r="O19" i="1"/>
  <c r="L36" i="1"/>
  <c r="L19" i="1"/>
  <c r="L27" i="1" s="1"/>
  <c r="R236" i="9"/>
  <c r="R124" i="9"/>
  <c r="R240" i="9"/>
  <c r="R225" i="9"/>
  <c r="C227" i="9"/>
  <c r="R227" i="9" s="1"/>
  <c r="R112" i="9"/>
  <c r="I94" i="9"/>
  <c r="R99" i="9"/>
  <c r="R83" i="9"/>
  <c r="O3" i="1"/>
  <c r="O114" i="1"/>
  <c r="O127" i="1" s="1"/>
  <c r="O85" i="1"/>
  <c r="O87" i="1"/>
  <c r="O86" i="1"/>
  <c r="O108" i="1"/>
  <c r="O110" i="1" s="1"/>
  <c r="O101" i="1"/>
  <c r="M20" i="1"/>
  <c r="O9" i="1"/>
  <c r="O18" i="1" s="1"/>
  <c r="N18" i="1"/>
  <c r="F19" i="1"/>
  <c r="G19" i="1" s="1"/>
  <c r="F36" i="1"/>
  <c r="H36" i="1" s="1"/>
  <c r="C21" i="9"/>
  <c r="C22" i="2"/>
  <c r="X34" i="6"/>
  <c r="E17" i="20" l="1"/>
  <c r="F16" i="20"/>
  <c r="B34" i="20"/>
  <c r="B46" i="20"/>
  <c r="B63" i="20"/>
  <c r="B23" i="20"/>
  <c r="B16" i="20"/>
  <c r="H19" i="1"/>
  <c r="G53" i="1"/>
  <c r="E4" i="20" s="1"/>
  <c r="H148" i="1"/>
  <c r="G232" i="1"/>
  <c r="I32" i="9"/>
  <c r="K94" i="9"/>
  <c r="K32" i="9"/>
  <c r="K37" i="9" s="1"/>
  <c r="I28" i="19"/>
  <c r="J28" i="19" s="1"/>
  <c r="K28" i="19" s="1"/>
  <c r="L28" i="19" s="1"/>
  <c r="R85" i="9"/>
  <c r="I27" i="19"/>
  <c r="N32" i="9"/>
  <c r="C37" i="9"/>
  <c r="Q31" i="9"/>
  <c r="Q37" i="9" s="1"/>
  <c r="Q54" i="9" s="1"/>
  <c r="N31" i="9"/>
  <c r="I31" i="9"/>
  <c r="P94" i="9"/>
  <c r="J19" i="19"/>
  <c r="F94" i="9"/>
  <c r="E94" i="9"/>
  <c r="R84" i="9"/>
  <c r="Q94" i="9"/>
  <c r="Q109" i="9" s="1"/>
  <c r="N94" i="9"/>
  <c r="G94" i="9"/>
  <c r="L94" i="9"/>
  <c r="O94" i="9"/>
  <c r="H94" i="9"/>
  <c r="R106" i="9"/>
  <c r="M94" i="9"/>
  <c r="J94" i="9"/>
  <c r="K148" i="1"/>
  <c r="K149" i="1" s="1"/>
  <c r="I149" i="1"/>
  <c r="I27" i="1"/>
  <c r="K53" i="1"/>
  <c r="K54" i="1" s="1"/>
  <c r="M27" i="1"/>
  <c r="M53" i="1" s="1"/>
  <c r="M12" i="1" s="1"/>
  <c r="N96" i="1"/>
  <c r="I19" i="9"/>
  <c r="G19" i="9"/>
  <c r="M19" i="9"/>
  <c r="K19" i="9"/>
  <c r="O19" i="9"/>
  <c r="E19" i="9"/>
  <c r="R140" i="9"/>
  <c r="R139" i="9"/>
  <c r="R142" i="9"/>
  <c r="J130" i="9"/>
  <c r="J137" i="9" s="1"/>
  <c r="H130" i="9"/>
  <c r="H137" i="9" s="1"/>
  <c r="M130" i="9"/>
  <c r="M137" i="9" s="1"/>
  <c r="L130" i="9"/>
  <c r="L137" i="9" s="1"/>
  <c r="P130" i="9"/>
  <c r="P137" i="9" s="1"/>
  <c r="N130" i="9"/>
  <c r="N137" i="9" s="1"/>
  <c r="O130" i="9"/>
  <c r="O137" i="9" s="1"/>
  <c r="I130" i="9"/>
  <c r="I137" i="9" s="1"/>
  <c r="G130" i="9"/>
  <c r="G137" i="9" s="1"/>
  <c r="C135" i="9"/>
  <c r="R135" i="9" s="1"/>
  <c r="K138" i="1"/>
  <c r="C134" i="9"/>
  <c r="R134" i="9" s="1"/>
  <c r="K137" i="1"/>
  <c r="K130" i="9"/>
  <c r="K137" i="9" s="1"/>
  <c r="K102" i="1"/>
  <c r="K105" i="1" s="1"/>
  <c r="K111" i="1" s="1"/>
  <c r="C100" i="9"/>
  <c r="P100" i="9" s="1"/>
  <c r="P103" i="9" s="1"/>
  <c r="R180" i="9"/>
  <c r="R178" i="9"/>
  <c r="F6" i="9"/>
  <c r="F55" i="9"/>
  <c r="R171" i="9"/>
  <c r="N133" i="1"/>
  <c r="M140" i="1"/>
  <c r="F140" i="1"/>
  <c r="L53" i="1"/>
  <c r="C23" i="2"/>
  <c r="C20" i="9"/>
  <c r="C28" i="9" s="1"/>
  <c r="R172" i="9"/>
  <c r="F149" i="1"/>
  <c r="C145" i="9"/>
  <c r="R108" i="9"/>
  <c r="O21" i="9"/>
  <c r="I21" i="9"/>
  <c r="M21" i="9"/>
  <c r="E21" i="9"/>
  <c r="K21" i="9"/>
  <c r="G21" i="9"/>
  <c r="O96" i="1"/>
  <c r="F105" i="1"/>
  <c r="N20" i="1"/>
  <c r="N27" i="1" s="1"/>
  <c r="N53" i="1" s="1"/>
  <c r="O20" i="1"/>
  <c r="O27" i="1" s="1"/>
  <c r="O53" i="1" s="1"/>
  <c r="F27" i="1"/>
  <c r="E66" i="20" l="1"/>
  <c r="F66" i="20" s="1"/>
  <c r="F4" i="20"/>
  <c r="G13" i="1"/>
  <c r="I232" i="1"/>
  <c r="H13" i="1"/>
  <c r="G54" i="1"/>
  <c r="G233" i="1" s="1"/>
  <c r="G256" i="1" s="1"/>
  <c r="H256" i="1" s="1"/>
  <c r="G12" i="1"/>
  <c r="I37" i="9"/>
  <c r="C54" i="9"/>
  <c r="C55" i="9" s="1"/>
  <c r="P109" i="9"/>
  <c r="N37" i="9"/>
  <c r="N54" i="9" s="1"/>
  <c r="N55" i="9" s="1"/>
  <c r="J27" i="19"/>
  <c r="H140" i="1"/>
  <c r="H149" i="1"/>
  <c r="I140" i="1"/>
  <c r="F111" i="1"/>
  <c r="H111" i="1" s="1"/>
  <c r="H105" i="1"/>
  <c r="K19" i="19"/>
  <c r="R94" i="9"/>
  <c r="K12" i="1"/>
  <c r="F53" i="1"/>
  <c r="H53" i="1" s="1"/>
  <c r="H27" i="1"/>
  <c r="K140" i="1"/>
  <c r="K232" i="1" s="1"/>
  <c r="K13" i="1" s="1"/>
  <c r="M54" i="1"/>
  <c r="C137" i="9"/>
  <c r="R137" i="9" s="1"/>
  <c r="R130" i="9"/>
  <c r="G100" i="9"/>
  <c r="G103" i="9" s="1"/>
  <c r="G109" i="9" s="1"/>
  <c r="E100" i="9"/>
  <c r="E103" i="9" s="1"/>
  <c r="E109" i="9" s="1"/>
  <c r="M100" i="9"/>
  <c r="M103" i="9" s="1"/>
  <c r="M109" i="9" s="1"/>
  <c r="C103" i="9"/>
  <c r="C109" i="9" s="1"/>
  <c r="N100" i="9"/>
  <c r="N103" i="9" s="1"/>
  <c r="N109" i="9" s="1"/>
  <c r="J100" i="9"/>
  <c r="J103" i="9" s="1"/>
  <c r="J109" i="9" s="1"/>
  <c r="O100" i="9"/>
  <c r="O103" i="9" s="1"/>
  <c r="O109" i="9" s="1"/>
  <c r="K100" i="9"/>
  <c r="K103" i="9" s="1"/>
  <c r="K109" i="9" s="1"/>
  <c r="L100" i="9"/>
  <c r="L103" i="9" s="1"/>
  <c r="L109" i="9" s="1"/>
  <c r="F100" i="9"/>
  <c r="F103" i="9" s="1"/>
  <c r="F109" i="9" s="1"/>
  <c r="I100" i="9"/>
  <c r="I103" i="9" s="1"/>
  <c r="I109" i="9" s="1"/>
  <c r="H100" i="9"/>
  <c r="H103" i="9" s="1"/>
  <c r="H109" i="9" s="1"/>
  <c r="N140" i="1"/>
  <c r="O133" i="1"/>
  <c r="O140" i="1" s="1"/>
  <c r="L54" i="1"/>
  <c r="L12" i="1"/>
  <c r="R145" i="9"/>
  <c r="C146" i="9"/>
  <c r="R146" i="9" s="1"/>
  <c r="M20" i="9"/>
  <c r="M28" i="9" s="1"/>
  <c r="M54" i="9" s="1"/>
  <c r="E20" i="9"/>
  <c r="E28" i="9" s="1"/>
  <c r="E54" i="9" s="1"/>
  <c r="I20" i="9"/>
  <c r="I28" i="9" s="1"/>
  <c r="K20" i="9"/>
  <c r="K28" i="9" s="1"/>
  <c r="K54" i="9" s="1"/>
  <c r="K6" i="9" s="1"/>
  <c r="G20" i="9"/>
  <c r="G28" i="9" s="1"/>
  <c r="G54" i="9" s="1"/>
  <c r="O20" i="9"/>
  <c r="O28" i="9" s="1"/>
  <c r="O54" i="9" s="1"/>
  <c r="Q55" i="9"/>
  <c r="Q6" i="9"/>
  <c r="L105" i="1"/>
  <c r="L111" i="1" s="1"/>
  <c r="L232" i="1" s="1"/>
  <c r="O12" i="1"/>
  <c r="O54" i="1"/>
  <c r="N12" i="1"/>
  <c r="N54" i="1"/>
  <c r="I13" i="1" l="1"/>
  <c r="J5" i="20"/>
  <c r="G14" i="1"/>
  <c r="I12" i="1"/>
  <c r="H12" i="1"/>
  <c r="I14" i="1"/>
  <c r="G262" i="1"/>
  <c r="G15" i="1" s="1"/>
  <c r="J7" i="20" s="1"/>
  <c r="J11" i="20" s="1"/>
  <c r="I54" i="9"/>
  <c r="I6" i="9" s="1"/>
  <c r="N6" i="9"/>
  <c r="F12" i="1"/>
  <c r="F232" i="1"/>
  <c r="Q111" i="1" s="1"/>
  <c r="K14" i="1"/>
  <c r="K27" i="19"/>
  <c r="L19" i="19"/>
  <c r="H22" i="19"/>
  <c r="I233" i="1"/>
  <c r="I256" i="1" s="1"/>
  <c r="I262" i="1" s="1"/>
  <c r="F54" i="1"/>
  <c r="H54" i="1" s="1"/>
  <c r="K233" i="1"/>
  <c r="K256" i="1" s="1"/>
  <c r="K262" i="1" s="1"/>
  <c r="K15" i="1" s="1"/>
  <c r="R100" i="9"/>
  <c r="R103" i="9"/>
  <c r="C228" i="9"/>
  <c r="C229" i="9" s="1"/>
  <c r="R229" i="9" s="1"/>
  <c r="G6" i="9"/>
  <c r="G55" i="9"/>
  <c r="M6" i="9"/>
  <c r="M55" i="9"/>
  <c r="O6" i="9"/>
  <c r="O55" i="9"/>
  <c r="E55" i="9"/>
  <c r="E6" i="9"/>
  <c r="R109" i="9"/>
  <c r="K55" i="9"/>
  <c r="L13" i="1"/>
  <c r="L14" i="1" s="1"/>
  <c r="L233" i="1"/>
  <c r="L256" i="1" s="1"/>
  <c r="L262" i="1" s="1"/>
  <c r="L15" i="1" s="1"/>
  <c r="M105" i="1"/>
  <c r="M111" i="1" s="1"/>
  <c r="M232" i="1" s="1"/>
  <c r="J12" i="20" l="1"/>
  <c r="H14" i="1"/>
  <c r="J6" i="20"/>
  <c r="I15" i="1"/>
  <c r="H15" i="1"/>
  <c r="I55" i="9"/>
  <c r="Q221" i="1"/>
  <c r="H232" i="1"/>
  <c r="F13" i="1"/>
  <c r="F14" i="1" s="1"/>
  <c r="M19" i="19"/>
  <c r="I25" i="19"/>
  <c r="H32" i="19"/>
  <c r="H34" i="19" s="1"/>
  <c r="L27" i="19"/>
  <c r="M27" i="19" s="1"/>
  <c r="I20" i="19"/>
  <c r="F233" i="1"/>
  <c r="O105" i="1"/>
  <c r="O111" i="1" s="1"/>
  <c r="O232" i="1" s="1"/>
  <c r="N105" i="1"/>
  <c r="N111" i="1" s="1"/>
  <c r="N232" i="1" s="1"/>
  <c r="M13" i="1"/>
  <c r="M14" i="1" s="1"/>
  <c r="M233" i="1"/>
  <c r="M256" i="1" s="1"/>
  <c r="M262" i="1" s="1"/>
  <c r="M15" i="1" s="1"/>
  <c r="H36" i="19" l="1"/>
  <c r="I8" i="19" s="1"/>
  <c r="I22" i="19"/>
  <c r="J25" i="19"/>
  <c r="I32" i="19"/>
  <c r="J20" i="19"/>
  <c r="J22" i="19" s="1"/>
  <c r="F256" i="1"/>
  <c r="F262" i="1" s="1"/>
  <c r="F15" i="1" s="1"/>
  <c r="H233" i="1"/>
  <c r="N13" i="1"/>
  <c r="N14" i="1" s="1"/>
  <c r="N233" i="1"/>
  <c r="N256" i="1" s="1"/>
  <c r="N262" i="1" s="1"/>
  <c r="N15" i="1" s="1"/>
  <c r="O13" i="1"/>
  <c r="O14" i="1" s="1"/>
  <c r="O233" i="1"/>
  <c r="O256" i="1" s="1"/>
  <c r="O262" i="1" s="1"/>
  <c r="O15" i="1" s="1"/>
  <c r="I34" i="19" l="1"/>
  <c r="I36" i="19" s="1"/>
  <c r="J8" i="19" s="1"/>
  <c r="K25" i="19"/>
  <c r="J32" i="19"/>
  <c r="J34" i="19" s="1"/>
  <c r="K20" i="19"/>
  <c r="K22" i="19" s="1"/>
  <c r="L197" i="9"/>
  <c r="L198" i="9" s="1"/>
  <c r="L228" i="9" s="1"/>
  <c r="L7" i="9" s="1"/>
  <c r="N197" i="9"/>
  <c r="N198" i="9" s="1"/>
  <c r="N228" i="9" s="1"/>
  <c r="N7" i="9" s="1"/>
  <c r="H197" i="9"/>
  <c r="H198" i="9" s="1"/>
  <c r="H228" i="9" s="1"/>
  <c r="H7" i="9" s="1"/>
  <c r="I197" i="9"/>
  <c r="I198" i="9" s="1"/>
  <c r="I228" i="9" s="1"/>
  <c r="I7" i="9" s="1"/>
  <c r="Q198" i="9"/>
  <c r="Q228" i="9" s="1"/>
  <c r="J197" i="9"/>
  <c r="J198" i="9" s="1"/>
  <c r="J228" i="9" s="1"/>
  <c r="J7" i="9" s="1"/>
  <c r="M197" i="9"/>
  <c r="M198" i="9" s="1"/>
  <c r="M228" i="9" s="1"/>
  <c r="M7" i="9" s="1"/>
  <c r="F198" i="9"/>
  <c r="F228" i="9" s="1"/>
  <c r="F7" i="9" s="1"/>
  <c r="P197" i="9"/>
  <c r="P198" i="9" s="1"/>
  <c r="P228" i="9" s="1"/>
  <c r="P7" i="9" s="1"/>
  <c r="G197" i="9"/>
  <c r="K197" i="9"/>
  <c r="K198" i="9" s="1"/>
  <c r="K228" i="9" s="1"/>
  <c r="K7" i="9" s="1"/>
  <c r="O197" i="9"/>
  <c r="O198" i="9" s="1"/>
  <c r="O228" i="9" s="1"/>
  <c r="O7" i="9" s="1"/>
  <c r="E198" i="9"/>
  <c r="E228" i="9" s="1"/>
  <c r="E7" i="9" s="1"/>
  <c r="J36" i="19" l="1"/>
  <c r="K8" i="19" s="1"/>
  <c r="L25" i="19"/>
  <c r="K32" i="19"/>
  <c r="K34" i="19" s="1"/>
  <c r="L20" i="19"/>
  <c r="L22" i="19" s="1"/>
  <c r="G198" i="9"/>
  <c r="R197" i="9"/>
  <c r="Q7" i="9"/>
  <c r="E8" i="9"/>
  <c r="E13" i="9" s="1"/>
  <c r="M20" i="19" l="1"/>
  <c r="M22" i="19" s="1"/>
  <c r="L32" i="19"/>
  <c r="L34" i="19" s="1"/>
  <c r="M25" i="19"/>
  <c r="K36" i="19"/>
  <c r="L8" i="19" s="1"/>
  <c r="G228" i="9"/>
  <c r="R198" i="9"/>
  <c r="F5" i="9"/>
  <c r="F8" i="9" s="1"/>
  <c r="F13" i="9" s="1"/>
  <c r="E16" i="9"/>
  <c r="L36" i="19" l="1"/>
  <c r="M32" i="19"/>
  <c r="M34" i="19" s="1"/>
  <c r="M36" i="19" s="1"/>
  <c r="G7" i="9"/>
  <c r="R228" i="9"/>
  <c r="G5" i="9"/>
  <c r="F16" i="9"/>
  <c r="G8" i="9" l="1"/>
  <c r="G13" i="9" s="1"/>
  <c r="H5" i="9" s="1"/>
  <c r="H8" i="9" s="1"/>
  <c r="H13" i="9" s="1"/>
  <c r="G16" i="9" l="1"/>
  <c r="H16" i="9"/>
  <c r="I5" i="9"/>
  <c r="I8" i="9" s="1"/>
  <c r="I13" i="9" s="1"/>
  <c r="I16" i="9" l="1"/>
  <c r="J5" i="9"/>
  <c r="J8" i="9" s="1"/>
  <c r="J13" i="9" s="1"/>
  <c r="J16" i="9" l="1"/>
  <c r="K5" i="9"/>
  <c r="K8" i="9" s="1"/>
  <c r="K13" i="9" s="1"/>
  <c r="K16" i="9" l="1"/>
  <c r="L5" i="9"/>
  <c r="L8" i="9" s="1"/>
  <c r="L13" i="9" s="1"/>
  <c r="L16" i="9" l="1"/>
  <c r="M5" i="9"/>
  <c r="M8" i="9" s="1"/>
  <c r="M13" i="9" s="1"/>
  <c r="M16" i="9" l="1"/>
  <c r="N5" i="9"/>
  <c r="N8" i="9" s="1"/>
  <c r="N13" i="9" s="1"/>
  <c r="O5" i="9" l="1"/>
  <c r="O8" i="9" s="1"/>
  <c r="O13" i="9" s="1"/>
  <c r="N16" i="9"/>
  <c r="P5" i="9" l="1"/>
  <c r="P8" i="9" s="1"/>
  <c r="P13" i="9" s="1"/>
  <c r="O16" i="9"/>
  <c r="Q5" i="9" l="1"/>
  <c r="Q8" i="9" s="1"/>
  <c r="Q13" i="9" s="1"/>
  <c r="Q16" i="9" s="1"/>
  <c r="P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Kamilah O'Brien</author>
  </authors>
  <commentList>
    <comment ref="A3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Kamilah O'Brien:</t>
        </r>
        <r>
          <rPr>
            <sz val="9"/>
            <color indexed="81"/>
            <rFont val="Tahoma"/>
            <family val="2"/>
          </rPr>
          <t xml:space="preserve">
martial arts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Gasper Magallanes</author>
  </authors>
  <commentList>
    <comment ref="E11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Gasper Magallanes:</t>
        </r>
        <r>
          <rPr>
            <sz val="9"/>
            <color indexed="81"/>
            <rFont val="Tahoma"/>
            <family val="2"/>
          </rPr>
          <t xml:space="preserve">
$2K/month plus 2% of any CSP funds
</t>
        </r>
      </text>
    </comment>
  </commentList>
</comments>
</file>

<file path=xl/sharedStrings.xml><?xml version="1.0" encoding="utf-8"?>
<sst xmlns="http://schemas.openxmlformats.org/spreadsheetml/2006/main" count="1758" uniqueCount="1046">
  <si>
    <t>Total</t>
  </si>
  <si>
    <t xml:space="preserve">   4000 State Grants</t>
  </si>
  <si>
    <t xml:space="preserve">      4001 Per Pupil General Education</t>
  </si>
  <si>
    <t xml:space="preserve">      4002 Per Pupil Special Education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</si>
  <si>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</si>
  <si>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</si>
  <si>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</si>
  <si>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Total 4000 State Grants</t>
  </si>
  <si>
    <t xml:space="preserve">   4100 Federal Grants</t>
  </si>
  <si>
    <t xml:space="preserve">      4101 IDEA Special Needs</t>
  </si>
  <si>
    <t xml:space="preserve">      4102 Title I</t>
  </si>
  <si>
    <t xml:space="preserve">      4103 Title IIA</t>
  </si>
  <si>
    <t xml:space="preserve">      4105 E-Rate</t>
  </si>
  <si>
    <t xml:space="preserve">   Total 4100 Federal Grants</t>
  </si>
  <si>
    <t xml:space="preserve">   4200 Contributions &amp; Donations</t>
  </si>
  <si>
    <t xml:space="preserve">      4202 Unrestricted Contributions</t>
  </si>
  <si>
    <t xml:space="preserve">      4203 Walton Foundation</t>
  </si>
  <si>
    <t xml:space="preserve">   Total 4200 Contributions &amp; Donations</t>
  </si>
  <si>
    <t xml:space="preserve">   4300 Fundraising</t>
  </si>
  <si>
    <t xml:space="preserve">      4301 Fundraising Events</t>
  </si>
  <si>
    <t xml:space="preserve">      4401 Interest Income.</t>
  </si>
  <si>
    <t xml:space="preserve">   Total 4300 Fundraising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</si>
  <si>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</si>
  <si>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</si>
  <si>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</si>
  <si>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</si>
  <si>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</si>
  <si>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</si>
  <si>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>Total Income</t>
  </si>
  <si>
    <t>Gross Profit</t>
  </si>
  <si>
    <t>Expenses</t>
  </si>
  <si>
    <t xml:space="preserve">   5000 Compensation</t>
  </si>
  <si>
    <t xml:space="preserve">   6000 Professional Services/Contracted Expenses</t>
  </si>
  <si>
    <t xml:space="preserve">      6005 Payroll Services</t>
  </si>
  <si>
    <t xml:space="preserve">      6010 Financial Management Services</t>
  </si>
  <si>
    <t xml:space="preserve">      6015 Legal - Paid</t>
  </si>
  <si>
    <t xml:space="preserve">      6016 Legal - In Kind</t>
  </si>
  <si>
    <t xml:space="preserve">      6020 Food Service / School Lunch</t>
  </si>
  <si>
    <t xml:space="preserve">      6025 Titlement Services</t>
  </si>
  <si>
    <t xml:space="preserve">      6026 ERate Consultants</t>
  </si>
  <si>
    <t xml:space="preserve">      6030 Compliance Consulting</t>
  </si>
  <si>
    <t xml:space="preserve">      6035 Curriculum Services</t>
  </si>
  <si>
    <t xml:space="preserve">      6040 Special Ed Services</t>
  </si>
  <si>
    <t xml:space="preserve">      6045 Substitute Teaching Services</t>
  </si>
  <si>
    <t xml:space="preserve">      6050 Other Purchased / Professional / Consulting</t>
  </si>
  <si>
    <t xml:space="preserve">   Total 6000 Professional Services/Contracted Expenses</t>
  </si>
  <si>
    <t xml:space="preserve">   6100 Board Expenses</t>
  </si>
  <si>
    <t xml:space="preserve">      6101 Board Meetings</t>
  </si>
  <si>
    <t xml:space="preserve">      6105 Board Development</t>
  </si>
  <si>
    <t xml:space="preserve">   Total 6100 Board Expenses</t>
  </si>
  <si>
    <t xml:space="preserve">   6200 Classroom &amp; Teaching Supplies &amp; Materials</t>
  </si>
  <si>
    <t xml:space="preserve">      6205 Classroom Supplies &amp; Materials</t>
  </si>
  <si>
    <t xml:space="preserve">      6210 Math Supplies &amp; Materials</t>
  </si>
  <si>
    <t xml:space="preserve">      6215 Science Supplies &amp; Materials</t>
  </si>
  <si>
    <t xml:space="preserve">      6230 Physical Education Supplies &amp; Materials</t>
  </si>
  <si>
    <t xml:space="preserve">      6235 NYSSL Expense</t>
  </si>
  <si>
    <t xml:space="preserve">      6240 NYSLIB Expense</t>
  </si>
  <si>
    <t xml:space="preserve">      6245 In-Kind Expense</t>
  </si>
  <si>
    <t xml:space="preserve">   Total 6200 Classroom &amp; Teaching Supplies &amp; Materials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</si>
  <si>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</si>
  <si>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</si>
  <si>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</si>
  <si>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6400 Textbooks &amp; Workbooks</t>
  </si>
  <si>
    <t xml:space="preserve">      6405 Textbooks</t>
  </si>
  <si>
    <t xml:space="preserve">      6410 NYSTL Expense</t>
  </si>
  <si>
    <t xml:space="preserve">   Total 6400 Textbooks &amp; Workbooks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</si>
  <si>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</si>
  <si>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</si>
  <si>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</si>
  <si>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</si>
  <si>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Total 6500 Supplies &amp; Materials Other</t>
  </si>
  <si>
    <t xml:space="preserve">   6600 Equipment &amp; Furniture (Non Asset)</t>
  </si>
  <si>
    <t xml:space="preserve">      6601 Copy Machine Lease</t>
  </si>
  <si>
    <t xml:space="preserve">   Total 6600 Equipment &amp; Furniture (Non Asset)</t>
  </si>
  <si>
    <t xml:space="preserve">      6705 Mobile Phone</t>
  </si>
  <si>
    <t xml:space="preserve">   6800 Technology</t>
  </si>
  <si>
    <t xml:space="preserve">      6801 Internet</t>
  </si>
  <si>
    <t xml:space="preserve">      6805 Technology Services</t>
  </si>
  <si>
    <t xml:space="preserve">      6810 Technology Supplies</t>
  </si>
  <si>
    <t xml:space="preserve">      6815 Software (non capitalized)</t>
  </si>
  <si>
    <t xml:space="preserve">      6820 Website Maintenance</t>
  </si>
  <si>
    <t xml:space="preserve">      6901 Assessment Supplies and Materials</t>
  </si>
  <si>
    <t xml:space="preserve">   Total 6800 Technology</t>
  </si>
  <si>
    <t xml:space="preserve">   7000 Student Travel</t>
  </si>
  <si>
    <t xml:space="preserve">      7001 Field Trips</t>
  </si>
  <si>
    <t xml:space="preserve">      7005 Transportation</t>
  </si>
  <si>
    <t xml:space="preserve">      7101 Student Uniforms</t>
  </si>
  <si>
    <t xml:space="preserve">   Total 7000 Student Travel</t>
  </si>
  <si>
    <t xml:space="preserve">   7200 Office Expenses</t>
  </si>
  <si>
    <t xml:space="preserve">      7201 Office Supplies</t>
  </si>
  <si>
    <t xml:space="preserve">      7205 Postage &amp; Shipping</t>
  </si>
  <si>
    <t xml:space="preserve">   Total 7200 Office Expenses</t>
  </si>
  <si>
    <t xml:space="preserve">   7300 Staff Development</t>
  </si>
  <si>
    <t xml:space="preserve">      7301 Instructional Staff Development</t>
  </si>
  <si>
    <t xml:space="preserve">      7305 Administrative Staff Development</t>
  </si>
  <si>
    <t xml:space="preserve">      7310 Team Building &amp; Staff Appreciation</t>
  </si>
  <si>
    <t xml:space="preserve">   Total 7300 Staff Development</t>
  </si>
  <si>
    <t xml:space="preserve">   7400 Staff Recruitment</t>
  </si>
  <si>
    <t xml:space="preserve">      7401 Staff Recruitment.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</si>
  <si>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</si>
  <si>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</si>
  <si>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</si>
  <si>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   7601 Meals &amp; Lunches</t>
  </si>
  <si>
    <t xml:space="preserve">      7701 Local Travel</t>
  </si>
  <si>
    <t xml:space="preserve">   Total 7500 Student Recruitment/Marketing</t>
  </si>
  <si>
    <t xml:space="preserve">   7700 Staff Travel</t>
  </si>
  <si>
    <t xml:space="preserve">      7705 Travel, Meals &amp; Lodging (PD)</t>
  </si>
  <si>
    <t xml:space="preserve">   Total 7700 Staff Travel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</si>
  <si>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</si>
  <si>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</si>
  <si>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</si>
  <si>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7900 Miscellaneous Expenses</t>
  </si>
  <si>
    <t xml:space="preserve">      7901 Bank Services Charges</t>
  </si>
  <si>
    <t xml:space="preserve">      7905 Dues &amp; Memberships</t>
  </si>
  <si>
    <t xml:space="preserve">      7910 Miscellaneous Fees</t>
  </si>
  <si>
    <t xml:space="preserve">      7920 Sales Tax</t>
  </si>
  <si>
    <t xml:space="preserve">      7925 Expense Suspense</t>
  </si>
  <si>
    <t xml:space="preserve">   Total 7900 Miscellaneous Expenses</t>
  </si>
  <si>
    <t xml:space="preserve">   8000 Insurance Expense</t>
  </si>
  <si>
    <t xml:space="preserve">      8001 General</t>
  </si>
  <si>
    <t xml:space="preserve">      8005 ERISA</t>
  </si>
  <si>
    <t xml:space="preserve">   Total 8000 Insurance Expense</t>
  </si>
  <si>
    <t xml:space="preserve">   8100 Facility Operations &amp; Maintenance</t>
  </si>
  <si>
    <t xml:space="preserve">      8110 Repairs &amp; Maintenance</t>
  </si>
  <si>
    <t xml:space="preserve">   Total 8100 Facility Operations &amp; Maintenance</t>
  </si>
  <si>
    <t xml:space="preserve">   8200 Depreciation Expense &amp; Amortization</t>
  </si>
  <si>
    <t xml:space="preserve">      8201 Depreciation Expense</t>
  </si>
  <si>
    <t xml:space="preserve">      8202 Amortization Expense</t>
  </si>
  <si>
    <t xml:space="preserve">   Total 8200 Depreciation Expense &amp; Amortization</t>
  </si>
  <si>
    <t>Total Expenses</t>
  </si>
  <si>
    <t>Net Operating Income</t>
  </si>
  <si>
    <t>2018-2019</t>
  </si>
  <si>
    <t>2019-2020</t>
  </si>
  <si>
    <t>2020-2021</t>
  </si>
  <si>
    <t>2021-2022</t>
  </si>
  <si>
    <t>202-2023</t>
  </si>
  <si>
    <t>2023-2024</t>
  </si>
  <si>
    <t>Year 1</t>
  </si>
  <si>
    <t>Year 2</t>
  </si>
  <si>
    <t>Year 3</t>
  </si>
  <si>
    <t>Year 4</t>
  </si>
  <si>
    <t>Year 5</t>
  </si>
  <si>
    <t>Staff Count</t>
  </si>
  <si>
    <t>SEE STAFF DETAIL TAB</t>
  </si>
  <si>
    <t>SpEd Enrollment 
(20-60%)</t>
  </si>
  <si>
    <t>SpEd Enrollment 
(&gt;60%)</t>
  </si>
  <si>
    <t>FRPL%</t>
  </si>
  <si>
    <t>Per Pupil Allocation</t>
  </si>
  <si>
    <t>Sped Allocation
(20-60%)</t>
  </si>
  <si>
    <t>no change in allocation amounts</t>
  </si>
  <si>
    <t>Sped Allocation 
(&gt;60%)</t>
  </si>
  <si>
    <t xml:space="preserve">REVENUE </t>
  </si>
  <si>
    <t>EXPENSES</t>
  </si>
  <si>
    <t>NET INCOME/(DEFICIT)</t>
  </si>
  <si>
    <t>CASH INCOME/(DEFICIT)</t>
  </si>
  <si>
    <t>20-60%</t>
  </si>
  <si>
    <t>Grade</t>
  </si>
  <si>
    <t>Sped %</t>
  </si>
  <si>
    <t>K</t>
  </si>
  <si>
    <t>&lt;20%</t>
  </si>
  <si>
    <t>&gt;60%</t>
  </si>
  <si>
    <t>must equal 100</t>
  </si>
  <si>
    <t>PPA</t>
  </si>
  <si>
    <t>Sped 20-60%</t>
  </si>
  <si>
    <t>Sped &gt;60%</t>
  </si>
  <si>
    <t>PPA check</t>
  </si>
  <si>
    <t>SPED checl</t>
  </si>
  <si>
    <t>Lesser of 30% of Enrollment and Lease</t>
  </si>
  <si>
    <t>year 1 grant only. $185K plus $450/student</t>
  </si>
  <si>
    <t>$58.25/student</t>
  </si>
  <si>
    <t>$14.98/student</t>
  </si>
  <si>
    <t>$6.25/student</t>
  </si>
  <si>
    <t>Budget Code</t>
  </si>
  <si>
    <t>Last</t>
  </si>
  <si>
    <t>First</t>
  </si>
  <si>
    <t>Base Salary</t>
  </si>
  <si>
    <t>FTE</t>
  </si>
  <si>
    <t>6.2% of salaries</t>
  </si>
  <si>
    <t>1.45% of salaries</t>
  </si>
  <si>
    <t>1% of salaries</t>
  </si>
  <si>
    <t>COUNT</t>
  </si>
  <si>
    <t>Estimate of financial services contract</t>
  </si>
  <si>
    <t>$500/FRPL student (87%)</t>
  </si>
  <si>
    <t>$40/FRPL student (87%)</t>
  </si>
  <si>
    <t>Year two of CSP</t>
  </si>
  <si>
    <t>Scenario 1</t>
  </si>
  <si>
    <t xml:space="preserve">Total # days of school </t>
  </si>
  <si>
    <t xml:space="preserve">SCHOOL FOOD REVENUE </t>
  </si>
  <si>
    <t>SCHOOL FOOD EXPENSE</t>
  </si>
  <si>
    <t>CHILD NUTRITION PROGRAM</t>
  </si>
  <si>
    <t>Reimburse</t>
  </si>
  <si>
    <t>FRL</t>
  </si>
  <si>
    <t>State Rates</t>
  </si>
  <si>
    <t>Federal Rates</t>
  </si>
  <si>
    <t xml:space="preserve">TOTAL MEALS </t>
  </si>
  <si>
    <t xml:space="preserve">STATE </t>
  </si>
  <si>
    <t xml:space="preserve">FEDERAL </t>
  </si>
  <si>
    <t xml:space="preserve">Cost per order </t>
  </si>
  <si>
    <t xml:space="preserve">Orders per day </t>
  </si>
  <si>
    <t>Est. Total Meals</t>
  </si>
  <si>
    <t>Est. Total Cost</t>
  </si>
  <si>
    <t>free breakfast</t>
  </si>
  <si>
    <t xml:space="preserve">Breakfast </t>
  </si>
  <si>
    <t>reduced breakfast</t>
  </si>
  <si>
    <t xml:space="preserve">Lunch </t>
  </si>
  <si>
    <t>full breakfast</t>
  </si>
  <si>
    <t xml:space="preserve">Snack </t>
  </si>
  <si>
    <t>Breakfast:</t>
  </si>
  <si>
    <t xml:space="preserve">Trays </t>
  </si>
  <si>
    <t>free lunch</t>
  </si>
  <si>
    <t xml:space="preserve">reduced lunch </t>
  </si>
  <si>
    <t xml:space="preserve">Full Paying Parents </t>
  </si>
  <si>
    <t>Expected Return:</t>
  </si>
  <si>
    <t>Lunch:</t>
  </si>
  <si>
    <t>free snack</t>
  </si>
  <si>
    <t>Snack:</t>
  </si>
  <si>
    <t>School's estimated out of pocket expense (w/o parent contribution)</t>
  </si>
  <si>
    <t>School's estimated out of pocket expense (w/ parent full contribution)</t>
  </si>
  <si>
    <t xml:space="preserve">School Food </t>
  </si>
  <si>
    <t xml:space="preserve">      4003 Facility Assistance</t>
  </si>
  <si>
    <t xml:space="preserve">      4009 NYS State Senate Grant Per Pupil Supplement</t>
  </si>
  <si>
    <t xml:space="preserve">      4008 State Grants DYCD</t>
  </si>
  <si>
    <t xml:space="preserve">      4007 Food Service - State Income</t>
  </si>
  <si>
    <t>Contracted Services</t>
  </si>
  <si>
    <t>Audit</t>
  </si>
  <si>
    <t>audit &amp; 990 support; need a CSP agreed upon procedures the 1st year if you receive CSP</t>
  </si>
  <si>
    <t>Legal Services</t>
  </si>
  <si>
    <t>NYC charters spend more heavily than other charter schools for legal expenses</t>
  </si>
  <si>
    <t>Health Services/Nurse Services</t>
  </si>
  <si>
    <t>provided as part of FT staff</t>
  </si>
  <si>
    <t>Food Service</t>
  </si>
  <si>
    <t>product of average cost for breakfast, lunch, snack  and likely # of students each day and # of school days</t>
  </si>
  <si>
    <t>Payroll</t>
  </si>
  <si>
    <t>Varies</t>
  </si>
  <si>
    <t>Paychex as Processor; $500 in reporting fees; $53 for 11 employees per pay period (24); extra $1 per employee per pay period (24)</t>
  </si>
  <si>
    <t>Special Education Services</t>
  </si>
  <si>
    <t>per SPED student; services beyond what's received through NYCDOE</t>
  </si>
  <si>
    <t>Special Education Collaborative</t>
  </si>
  <si>
    <t>with NYCCSC</t>
  </si>
  <si>
    <t>SIS System</t>
  </si>
  <si>
    <t>usually a larger one time fee for first year; per student licensing fee in future years</t>
  </si>
  <si>
    <t>Technology Support</t>
  </si>
  <si>
    <t>outsourced tech vendor</t>
  </si>
  <si>
    <t>Back-Office Support &amp; Financial Consulting</t>
  </si>
  <si>
    <t>% assessed on Per Pupil GenEd, &amp; Title funding; 4.5% on first 150 students; 2.25% on next 100; 1.35% on next 200; flatten by year 4; 2% admin fee on CSP</t>
  </si>
  <si>
    <t>E-Rate Consulting</t>
  </si>
  <si>
    <t>E-rate consultant</t>
  </si>
  <si>
    <t>Fingerprinting/Background Checks</t>
  </si>
  <si>
    <t>per new staff member</t>
  </si>
  <si>
    <t>Curriculum Consulting</t>
  </si>
  <si>
    <t>none to be included</t>
  </si>
  <si>
    <t>BES</t>
  </si>
  <si>
    <t>follow on support</t>
  </si>
  <si>
    <t>Retirement Admin Fees</t>
  </si>
  <si>
    <t>Remediation Software</t>
  </si>
  <si>
    <t>Sonday Systen</t>
  </si>
  <si>
    <t>Title Services</t>
  </si>
  <si>
    <t>included as part of back-office support fees</t>
  </si>
  <si>
    <t>Instructional Coaches</t>
  </si>
  <si>
    <t>Assumes 1 instructional coach @ 5K, starting in Y2, adding 1 instructional coach each subsequent year</t>
  </si>
  <si>
    <t>Custom</t>
  </si>
  <si>
    <t>Start right</t>
  </si>
  <si>
    <t>$1000/ Greater than 60% sped services student</t>
  </si>
  <si>
    <t>Board Giving - ~$2k/board member</t>
  </si>
  <si>
    <t>Shanell</t>
  </si>
  <si>
    <t>Torres</t>
  </si>
  <si>
    <t>Melissa Garber</t>
  </si>
  <si>
    <t>$4,500 NYCCSC SPED Collaborative</t>
  </si>
  <si>
    <t>Placeholder</t>
  </si>
  <si>
    <t>Food/snacks at board meetings</t>
  </si>
  <si>
    <t>$250/student</t>
  </si>
  <si>
    <t xml:space="preserve">      6407 Curriculum</t>
  </si>
  <si>
    <t>$200/sped student</t>
  </si>
  <si>
    <t>N/A</t>
  </si>
  <si>
    <t>NYDBL</t>
  </si>
  <si>
    <t>Annual Premium</t>
  </si>
  <si>
    <t>Monthly Premium</t>
  </si>
  <si>
    <t>Cost PEPM</t>
  </si>
  <si>
    <t>(100000 x 0.055) / 1000 = $5.50</t>
  </si>
  <si>
    <t>$100,000 of coverage would be $5.50 premium per month</t>
  </si>
  <si>
    <t>Basic Life</t>
  </si>
  <si>
    <t>Basic Life/ADD = The rate is 0.055 per $1000 of coverage</t>
  </si>
  <si>
    <t>(4166.67 x 0.131) / 100 = $5.46</t>
  </si>
  <si>
    <t>50000 / 12 = 4166.67 </t>
  </si>
  <si>
    <t>$50,000 salary would be $5.46 premium per month</t>
  </si>
  <si>
    <t>LTD</t>
  </si>
  <si>
    <t>LTD = The rate is 0.131 per $100 of benefit amount</t>
  </si>
  <si>
    <t>(576.92 x 0.397) / 10  = $22.90 premium</t>
  </si>
  <si>
    <t>50000 / 52 = 961.54 x .60 = 576.92 </t>
  </si>
  <si>
    <t>STD</t>
  </si>
  <si>
    <t>$50,000 salary would be $25.21 premium per month</t>
  </si>
  <si>
    <t>19/20 Total Salaries</t>
  </si>
  <si>
    <t>STD = The rate is 0.437 per $10 of benefit amount</t>
  </si>
  <si>
    <t>Total Employees:</t>
  </si>
  <si>
    <t>School</t>
  </si>
  <si>
    <t>Family</t>
  </si>
  <si>
    <t>Employee + Child(ren)</t>
  </si>
  <si>
    <t>Employee + Spouse</t>
  </si>
  <si>
    <t>Employee Only</t>
  </si>
  <si>
    <t>Vision 0</t>
  </si>
  <si>
    <t>Vision 10</t>
  </si>
  <si>
    <t>VISION
Total Cost Per Month</t>
  </si>
  <si>
    <t>DPPO 2000</t>
  </si>
  <si>
    <t>DPPO 1250</t>
  </si>
  <si>
    <t>DPPO 1000</t>
  </si>
  <si>
    <t>DHMO</t>
  </si>
  <si>
    <t>Total Projected Annual Premium:</t>
  </si>
  <si>
    <t>DENTAL
Total Cost Per Month</t>
  </si>
  <si>
    <t>NYDBL Premium:</t>
  </si>
  <si>
    <t>Basic Life Premium:</t>
  </si>
  <si>
    <t>Waived Medical</t>
  </si>
  <si>
    <t>Long-Term Disability Premium:</t>
  </si>
  <si>
    <t>Short-Term Disability Premium:</t>
  </si>
  <si>
    <t>Per Year</t>
  </si>
  <si>
    <t>Per Month</t>
  </si>
  <si>
    <t>Remaining Benefit Bucks for Dental, Vision, and other benefits</t>
  </si>
  <si>
    <t>Total Salaries:</t>
  </si>
  <si>
    <t xml:space="preserve">Total Employees: </t>
  </si>
  <si>
    <t>PPO 2000</t>
  </si>
  <si>
    <t>EPO 1000</t>
  </si>
  <si>
    <t>EPO 2000</t>
  </si>
  <si>
    <t>EPO 3000</t>
  </si>
  <si>
    <t>EPO 4500</t>
  </si>
  <si>
    <t>HSA 3000</t>
  </si>
  <si>
    <t>Life and Disability Premiums</t>
  </si>
  <si>
    <t xml:space="preserve">MEDICAL
Employee Monthly Premium </t>
  </si>
  <si>
    <t>waivers:</t>
  </si>
  <si>
    <t>Annual 
DC Amount</t>
  </si>
  <si>
    <t>Monthly  
DC Amount</t>
  </si>
  <si>
    <t>Total Vision</t>
  </si>
  <si>
    <t>Total Dental</t>
  </si>
  <si>
    <t>Total Medical</t>
  </si>
  <si>
    <t>Dental PP0 1250</t>
  </si>
  <si>
    <t>Target Vision %</t>
  </si>
  <si>
    <t>Target Dental %</t>
  </si>
  <si>
    <t>Dental PPO 2000</t>
  </si>
  <si>
    <t>Dental PPO 1000</t>
  </si>
  <si>
    <t>Target Medical %</t>
  </si>
  <si>
    <t>Enrollment Tier</t>
  </si>
  <si>
    <t>Monthly DC Amount</t>
  </si>
  <si>
    <t>DC Per Month</t>
  </si>
  <si>
    <t>Annual DC</t>
  </si>
  <si>
    <t>Defined Contribution Total</t>
  </si>
  <si>
    <t>Target Plans</t>
  </si>
  <si>
    <t>Target Percent %</t>
  </si>
  <si>
    <t>Ivy Hill Prep</t>
  </si>
  <si>
    <t>Refer to Little Bird Tab</t>
  </si>
  <si>
    <t>Will need referrals</t>
  </si>
  <si>
    <t>Will be using Lawyer's Alliance. This is for incidentals</t>
  </si>
  <si>
    <t xml:space="preserve">      6406 Library Books</t>
  </si>
  <si>
    <t>Phone Riem.</t>
  </si>
  <si>
    <t>Day to day mailing, Holiday cards</t>
  </si>
  <si>
    <t>Swag, snacks, water, food, etc. Teacher appreciation week.</t>
  </si>
  <si>
    <t>Social emotional professional development, outside conferences</t>
  </si>
  <si>
    <t>Vanguard mailing ($10K), swag</t>
  </si>
  <si>
    <t>misc.</t>
  </si>
  <si>
    <t>Authorized Enrollment</t>
  </si>
  <si>
    <t xml:space="preserve">      8115 Security</t>
  </si>
  <si>
    <t xml:space="preserve">      8120 Deferred Rent</t>
  </si>
  <si>
    <t>2019 - FY20</t>
  </si>
  <si>
    <t>2020 - FY21</t>
  </si>
  <si>
    <t>2021 - FY22</t>
  </si>
  <si>
    <t>2022 - FY23</t>
  </si>
  <si>
    <t>2023 - FY24</t>
  </si>
  <si>
    <t>2024 - FY25</t>
  </si>
  <si>
    <t>2025 - FY26</t>
  </si>
  <si>
    <t>2026 - FY27</t>
  </si>
  <si>
    <t>Base Rent</t>
  </si>
  <si>
    <t>Additional Rent</t>
  </si>
  <si>
    <t>Total Rent</t>
  </si>
  <si>
    <t>2027 - FY28</t>
  </si>
  <si>
    <t>Straight Line Rent</t>
  </si>
  <si>
    <t>Deferred Rent</t>
  </si>
  <si>
    <t>FY20-21</t>
  </si>
  <si>
    <t>Not in year one</t>
  </si>
  <si>
    <t>8 teachers</t>
  </si>
  <si>
    <t>Elgible for:</t>
  </si>
  <si>
    <t>Med. Insurance</t>
  </si>
  <si>
    <t xml:space="preserve">   Total 6900 Student Testing &amp; Assessment</t>
  </si>
  <si>
    <t xml:space="preserve">   Total 7600 School Meals/Lunches</t>
  </si>
  <si>
    <t>Ivy Hill Preparatory 
Charter School
YEAR ONE BUDGET</t>
  </si>
  <si>
    <t>Add back Depreciation</t>
  </si>
  <si>
    <t>Add back Deferred Rent</t>
  </si>
  <si>
    <t>CAPITAL BUDGET</t>
  </si>
  <si>
    <t>Non cash expense</t>
  </si>
  <si>
    <t>2028 - FY29</t>
  </si>
  <si>
    <t>2029 - FY30</t>
  </si>
  <si>
    <t>2030 - FY31</t>
  </si>
  <si>
    <t>2031 - FY32</t>
  </si>
  <si>
    <t>2032 - FY33</t>
  </si>
  <si>
    <t>2033 - FY34</t>
  </si>
  <si>
    <t>PKF O'Connor Davies - audit, 990 &amp; CSP Agreed Upon Procedures</t>
  </si>
  <si>
    <t>$20K per year for five years</t>
  </si>
  <si>
    <t xml:space="preserve">      4106 Food Service - Federal Income</t>
  </si>
  <si>
    <t xml:space="preserve">      4107 CSP</t>
  </si>
  <si>
    <t xml:space="preserve">      4104 Title IV</t>
  </si>
  <si>
    <t xml:space="preserve">   4400 Interest Income</t>
  </si>
  <si>
    <t xml:space="preserve">   Total 4400 Interest Income</t>
  </si>
  <si>
    <t xml:space="preserve">      5100 Administrative Staff</t>
  </si>
  <si>
    <t xml:space="preserve">         5101 Head of School</t>
  </si>
  <si>
    <t xml:space="preserve">         5105 Dean of Curriculum</t>
  </si>
  <si>
    <t xml:space="preserve">         5120 Dean of School Supports</t>
  </si>
  <si>
    <t xml:space="preserve">         5125 Director of Operations</t>
  </si>
  <si>
    <t xml:space="preserve">         5130 Director of Development</t>
  </si>
  <si>
    <t xml:space="preserve">         5135 Office Coordinator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</si>
  <si>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</si>
  <si>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</si>
  <si>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</si>
  <si>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Total 5100 Administrative Staff</t>
  </si>
  <si>
    <t xml:space="preserve">      5200 Instructional Staff</t>
  </si>
  <si>
    <t xml:space="preserve">         5205 General Ed Teachers</t>
  </si>
  <si>
    <t xml:space="preserve">         5210 Special Ed Teachers</t>
  </si>
  <si>
    <t xml:space="preserve">         5220 Teaching Fellow</t>
  </si>
  <si>
    <t xml:space="preserve">         5225 Social Worker</t>
  </si>
  <si>
    <t xml:space="preserve">      Total 5200 Instructional Staff</t>
  </si>
  <si>
    <t xml:space="preserve">      5300 Non-Instructional Staff</t>
  </si>
  <si>
    <t xml:space="preserve">         5305 School Food Worker</t>
  </si>
  <si>
    <t xml:space="preserve">      Total 5300 Non-Instructional Staff</t>
  </si>
  <si>
    <t xml:space="preserve">         5215 Elective Teachers</t>
  </si>
  <si>
    <t xml:space="preserve">      5400 Payroll Taxes</t>
  </si>
  <si>
    <t xml:space="preserve">         5401 Federal Unemployment Insurance</t>
  </si>
  <si>
    <t xml:space="preserve">         5402 NY State Unemployment Insurance</t>
  </si>
  <si>
    <t xml:space="preserve">         5403 Social Security - ER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</si>
  <si>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</si>
  <si>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</si>
  <si>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</si>
  <si>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</si>
  <si>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</si>
  <si>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</si>
  <si>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</si>
  <si>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 xml:space="preserve">         5411 Local Tax</t>
  </si>
  <si>
    <t xml:space="preserve">         5412 Paid Family Leave</t>
  </si>
  <si>
    <t xml:space="preserve">      Total 5400 Payroll Taxes</t>
  </si>
  <si>
    <t xml:space="preserve">      5600 Retirement &amp; Pension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</si>
  <si>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</si>
  <si>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</si>
  <si>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</si>
  <si>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Total 5600 Retirement &amp; Pension</t>
  </si>
  <si>
    <t xml:space="preserve">   Total 5000 Compensation</t>
  </si>
  <si>
    <t xml:space="preserve">      6605 Office Furniture</t>
  </si>
  <si>
    <t xml:space="preserve">      6606 Classroom Furniture</t>
  </si>
  <si>
    <t xml:space="preserve">      6610 Office Equipment</t>
  </si>
  <si>
    <t xml:space="preserve">      6611 Classroom Equipment</t>
  </si>
  <si>
    <t xml:space="preserve">      5500 Compensation Employee Benefits</t>
  </si>
  <si>
    <t xml:space="preserve">         5501 Medical Insurance</t>
  </si>
  <si>
    <t xml:space="preserve">         5505 Dental Insurance</t>
  </si>
  <si>
    <t xml:space="preserve">         5510 Vision Insurance</t>
  </si>
  <si>
    <t xml:space="preserve">         5515 Workers Compensation Expense</t>
  </si>
  <si>
    <t xml:space="preserve">         5520 STD, LTD, Life Insur. and NYS Disability Insur.</t>
  </si>
  <si>
    <t xml:space="preserve">         5525 Transit Check Fees</t>
  </si>
  <si>
    <t xml:space="preserve">         5530 FSA/Transit Check</t>
  </si>
  <si>
    <t xml:space="preserve">      Total 5500 Compensation Employee Benefits</t>
  </si>
  <si>
    <t xml:space="preserve">      6001 Accounting/Audit Services</t>
  </si>
  <si>
    <t xml:space="preserve">   6700 Telephone</t>
  </si>
  <si>
    <t xml:space="preserve">      6701 Telephone</t>
  </si>
  <si>
    <t xml:space="preserve">   Total 6700 Telephone</t>
  </si>
  <si>
    <t xml:space="preserve">   6900 Student Testing &amp; Assessment</t>
  </si>
  <si>
    <t xml:space="preserve">   7100 Student Services</t>
  </si>
  <si>
    <t xml:space="preserve">   Total 7100 Student Services</t>
  </si>
  <si>
    <t xml:space="preserve">   7600 School Meals/Lunches</t>
  </si>
  <si>
    <t xml:space="preserve">      8105 Rent or Lease of Buildings</t>
  </si>
  <si>
    <t>INCOME</t>
  </si>
  <si>
    <t xml:space="preserve">         1501 Office Furniture</t>
  </si>
  <si>
    <t xml:space="preserve">         1505 Classroom Furniture</t>
  </si>
  <si>
    <t xml:space="preserve">         1520 Office Computers</t>
  </si>
  <si>
    <t xml:space="preserve">         1535 Leasehold Improvements</t>
  </si>
  <si>
    <t>TOTAL CAPITAL BUDGET</t>
  </si>
  <si>
    <t>Cash Income</t>
  </si>
  <si>
    <t>Net Income:</t>
  </si>
  <si>
    <t>Subtract Rent Deposit</t>
  </si>
  <si>
    <t>Subtract Escrow</t>
  </si>
  <si>
    <t>Subtract Capital Costs</t>
  </si>
  <si>
    <t>NOTES</t>
  </si>
  <si>
    <t>Depreciation</t>
  </si>
  <si>
    <t>Furniture</t>
  </si>
  <si>
    <t>Lease</t>
  </si>
  <si>
    <t>Pre-opening</t>
  </si>
  <si>
    <t>2022-2023</t>
  </si>
  <si>
    <t>Growth</t>
  </si>
  <si>
    <t xml:space="preserve">         1510 Office Equipment</t>
  </si>
  <si>
    <t xml:space="preserve">         1515 Classroom Equipment</t>
  </si>
  <si>
    <t xml:space="preserve">         1525 Pupil Computers</t>
  </si>
  <si>
    <t xml:space="preserve">         1530 Software</t>
  </si>
  <si>
    <t>Computers &amp; Equipment</t>
  </si>
  <si>
    <t>Software</t>
  </si>
  <si>
    <t xml:space="preserve">         5305 Nurse</t>
  </si>
  <si>
    <t>Kenny</t>
  </si>
  <si>
    <t>Amanda</t>
  </si>
  <si>
    <t>Library books</t>
  </si>
  <si>
    <t>Homework parties and other events</t>
  </si>
  <si>
    <t>Literacy and math night materials and snacks</t>
  </si>
  <si>
    <t>Two shows per year ($1500/show), + Stepping up ceremony ($3000)</t>
  </si>
  <si>
    <t>$250/month for maintenance including updates for events, pictures, etc.</t>
  </si>
  <si>
    <t>AFTER SCHOOL</t>
  </si>
  <si>
    <t>Certified</t>
  </si>
  <si>
    <t xml:space="preserve">Year 1 </t>
  </si>
  <si>
    <t>Year 6</t>
  </si>
  <si>
    <t>Year 7</t>
  </si>
  <si>
    <t>Year 8</t>
  </si>
  <si>
    <t>Year 9</t>
  </si>
  <si>
    <t>$1000/classroom</t>
  </si>
  <si>
    <t>Janitorial</t>
  </si>
  <si>
    <t>Doster</t>
  </si>
  <si>
    <t>Ayesha</t>
  </si>
  <si>
    <t>Kane</t>
  </si>
  <si>
    <t>Ivy Hill Preparatory Charter School</t>
  </si>
  <si>
    <t>Remaining Months</t>
  </si>
  <si>
    <t>Cash Flow Projection through June 30, 2019</t>
  </si>
  <si>
    <t>ACCOUNT</t>
  </si>
  <si>
    <t>PROJECTIONS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</si>
  <si>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</si>
  <si>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</si>
  <si>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</si>
  <si>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</si>
  <si>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</si>
  <si>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</si>
  <si>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</si>
  <si>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</si>
  <si>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</si>
  <si>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</si>
  <si>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</si>
  <si>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 + Subsequent</t>
  </si>
  <si>
    <t xml:space="preserve">CHECK </t>
  </si>
  <si>
    <t>Beginning Cash Balance (Operating Account)</t>
  </si>
  <si>
    <t>Projected Cash Receipts from Operations</t>
  </si>
  <si>
    <r>
      <t>Projected Cash Disbursements</t>
    </r>
    <r>
      <rPr>
        <i/>
        <sz val="10"/>
        <rFont val="Calibri"/>
        <family val="2"/>
        <scheme val="minor"/>
      </rPr>
      <t xml:space="preserve"> from Operations</t>
    </r>
  </si>
  <si>
    <t>Net Cash from Operations</t>
  </si>
  <si>
    <t>Cash Receipts from Accounts &amp; Misc Receivables (not included in revenue below)</t>
  </si>
  <si>
    <t xml:space="preserve">Cash Disbursements for AP </t>
  </si>
  <si>
    <r>
      <t>Capital Expenditures</t>
    </r>
    <r>
      <rPr>
        <i/>
        <sz val="10"/>
        <rFont val="Calibri"/>
        <family val="2"/>
        <scheme val="minor"/>
      </rPr>
      <t xml:space="preserve"> </t>
    </r>
  </si>
  <si>
    <t>Ending Cash Balance (Operating Account)</t>
  </si>
  <si>
    <t>Other Cash Accounts (Net of Transfers)</t>
  </si>
  <si>
    <t>Total Cash (All Accounts)</t>
  </si>
  <si>
    <t>July</t>
  </si>
  <si>
    <t>Martial arts (equipment - $1440) and dance supplies</t>
  </si>
  <si>
    <t>Will determine later in year if this grant will still exist. Charter estimates $188/student</t>
  </si>
  <si>
    <t>Potentially a dance teacher half day, Martial arts teacher w/some dean responsibilities</t>
  </si>
  <si>
    <t xml:space="preserve">         5115 Dean of Students</t>
  </si>
  <si>
    <t>Martial arts teacher will do some Dean duties</t>
  </si>
  <si>
    <t>Dean of student supports will teach special education in year one</t>
  </si>
  <si>
    <t>Assumes 100% enrollment in employee only level, plus mid-year estimated increase - see Little Bird tab</t>
  </si>
  <si>
    <t>Not eligible until year two</t>
  </si>
  <si>
    <t>Escrow</t>
  </si>
  <si>
    <t>Prepaid</t>
  </si>
  <si>
    <t>Antoinette</t>
  </si>
  <si>
    <t>Abbey</t>
  </si>
  <si>
    <t>Machlachlan</t>
  </si>
  <si>
    <t>Jada</t>
  </si>
  <si>
    <t xml:space="preserve">Grace </t>
  </si>
  <si>
    <t>Cohen</t>
  </si>
  <si>
    <t>To-Nasia</t>
  </si>
  <si>
    <t>Blair</t>
  </si>
  <si>
    <t>Danielle</t>
  </si>
  <si>
    <t>Wilkerson</t>
  </si>
  <si>
    <t>Jenise</t>
  </si>
  <si>
    <t>Holdip</t>
  </si>
  <si>
    <t xml:space="preserve">      8116 Pest Control </t>
  </si>
  <si>
    <t>Ivy Hill Prep Furniture Budget</t>
  </si>
  <si>
    <t>2nd Floor</t>
  </si>
  <si>
    <t>Low End Budget</t>
  </si>
  <si>
    <t>High End Budget</t>
  </si>
  <si>
    <t>Actual</t>
  </si>
  <si>
    <t>Variance</t>
  </si>
  <si>
    <t>Project Expenses</t>
  </si>
  <si>
    <t>Library Bookcase; Qty: 8</t>
  </si>
  <si>
    <t>20 Slot Cubby; Qty: 4</t>
  </si>
  <si>
    <t>Scholar Desk; Qty: 130</t>
  </si>
  <si>
    <t>Scholar Chair; Qty: 130</t>
  </si>
  <si>
    <t>Whiteboard; Qty: 13</t>
  </si>
  <si>
    <t>Table Chairs; Qty: 40</t>
  </si>
  <si>
    <t>Rug; Qty: 4</t>
  </si>
  <si>
    <t>Easel; Qty: 8</t>
  </si>
  <si>
    <r>
      <t xml:space="preserve">Teacher Chair; </t>
    </r>
    <r>
      <rPr>
        <sz val="10"/>
        <color rgb="FFFF0000"/>
        <rFont val="Calibri (Body)_x0000_"/>
      </rPr>
      <t>Qty: 5</t>
    </r>
  </si>
  <si>
    <t>Horseshoe Table; Qty: 4</t>
  </si>
  <si>
    <t>Total Classroom Costs</t>
  </si>
  <si>
    <t>Desk with Storage Units; Qty: 10</t>
  </si>
  <si>
    <t>Chairs; Qty: 10</t>
  </si>
  <si>
    <t>Wardrobe Lockers; Qty: 3</t>
  </si>
  <si>
    <t>Laminator; Qty: 1</t>
  </si>
  <si>
    <t>Total Teacher Work Room Costs</t>
  </si>
  <si>
    <t>Clocks; Qty: 18</t>
  </si>
  <si>
    <t xml:space="preserve">Signage </t>
  </si>
  <si>
    <t>Logo Lightbox</t>
  </si>
  <si>
    <t>Door Signs</t>
  </si>
  <si>
    <t xml:space="preserve">Bulletin Board; Qty: 10 </t>
  </si>
  <si>
    <t>Total School Costs</t>
  </si>
  <si>
    <t>Closed Shelves; Qty: 10</t>
  </si>
  <si>
    <t>Step Ladders; Qty 1</t>
  </si>
  <si>
    <t>Bins; Qty: 7</t>
  </si>
  <si>
    <t>Total Book/Supply Room Costs</t>
  </si>
  <si>
    <t>Desk with Storage Units; Qty: 1</t>
  </si>
  <si>
    <t>Chairs; Qty: 3</t>
  </si>
  <si>
    <t>End Table; Qty: 2</t>
  </si>
  <si>
    <t>Water Machine; Qty: 1</t>
  </si>
  <si>
    <t>Business Card Holder; Qty: 1</t>
  </si>
  <si>
    <t xml:space="preserve">Filing Cabinets </t>
  </si>
  <si>
    <t>Magazine Holder; Qty: 1</t>
  </si>
  <si>
    <t>Total Furniture Expenses</t>
  </si>
  <si>
    <t>Total Spend</t>
  </si>
  <si>
    <t xml:space="preserve">Main Office (Buget: Office Furniture) </t>
  </si>
  <si>
    <t>Book/Supply Room (Classroom Furniture)</t>
  </si>
  <si>
    <t>Classroom (Classroom Furniture)</t>
  </si>
  <si>
    <t>Teacher Work Room (Office Furniture)</t>
  </si>
  <si>
    <t xml:space="preserve">School (Classroom Furniture) </t>
  </si>
  <si>
    <t>Year 1: 2019-2020</t>
  </si>
  <si>
    <t>20 Slot Cubby; Qty: 2</t>
  </si>
  <si>
    <t>Library Bookcase; Qty: 4</t>
  </si>
  <si>
    <t>Scholar Desk; Qty: 60</t>
  </si>
  <si>
    <t>Scholar Chair; Qty: 60</t>
  </si>
  <si>
    <t>Desk with Storage Units; Qty: 5</t>
  </si>
  <si>
    <t>Chairs; Qty: 5</t>
  </si>
  <si>
    <t>Year 0: 2018-2019</t>
  </si>
  <si>
    <t>Ivy Hill Prep Hardware Budget</t>
  </si>
  <si>
    <t>Year 0: 2019-2019</t>
  </si>
  <si>
    <t>Printers</t>
  </si>
  <si>
    <t>HP DesignJet T120 Poster</t>
  </si>
  <si>
    <t>HP DesignJet T120 mobile stand</t>
  </si>
  <si>
    <t>HP LaserJet Pro M203dw - Classroom printers (B&amp;W)</t>
  </si>
  <si>
    <t>HP PageWide Pro 477DW (Color)</t>
  </si>
  <si>
    <t>Installation</t>
  </si>
  <si>
    <t xml:space="preserve">Fundraising event </t>
  </si>
  <si>
    <t>Actual is 2550 per month before discount. We receive a 90% E-Rate Reimbursem.</t>
  </si>
  <si>
    <t>$346 per month</t>
  </si>
  <si>
    <t>Raven</t>
  </si>
  <si>
    <t>Requested by Dean of Special Supp., but not supplying</t>
  </si>
  <si>
    <t>Diana</t>
  </si>
  <si>
    <t>Williams</t>
  </si>
  <si>
    <t>Johnson</t>
  </si>
  <si>
    <t>Ambrosia</t>
  </si>
  <si>
    <t>Actual Classroom</t>
  </si>
  <si>
    <t>Actual Office</t>
  </si>
  <si>
    <t>Office Furniture (DOO)</t>
  </si>
  <si>
    <t>Office Furniture (HOS)</t>
  </si>
  <si>
    <t>Gil</t>
  </si>
  <si>
    <t>Vachelle</t>
  </si>
  <si>
    <t>3 Machines at $1276/month</t>
  </si>
  <si>
    <t>Based on E-rate award</t>
  </si>
  <si>
    <t>MAP ($3715): various assessment kits/licenses; $30K STEP Assessment in Year 1</t>
  </si>
  <si>
    <t>Using DOE school food</t>
  </si>
  <si>
    <t xml:space="preserve">Hours/week </t>
  </si>
  <si>
    <t>Cost</t>
  </si>
  <si>
    <t>Overtime</t>
  </si>
  <si>
    <t>Final Cost</t>
  </si>
  <si>
    <t>WO_8.26</t>
  </si>
  <si>
    <t>WO_9.2</t>
  </si>
  <si>
    <t>WO_9.9</t>
  </si>
  <si>
    <t>WO_9.16</t>
  </si>
  <si>
    <t>WO_9.23</t>
  </si>
  <si>
    <t>WO_9.30</t>
  </si>
  <si>
    <t>WO_10.7</t>
  </si>
  <si>
    <t>WO_10.14</t>
  </si>
  <si>
    <t>WO_10.21</t>
  </si>
  <si>
    <t>WO_10.28</t>
  </si>
  <si>
    <t>WO_11.4</t>
  </si>
  <si>
    <t>WO_11.11</t>
  </si>
  <si>
    <t>WO_11.18</t>
  </si>
  <si>
    <t>WO_11.25</t>
  </si>
  <si>
    <t>WO_12.2</t>
  </si>
  <si>
    <t>WO_12.9</t>
  </si>
  <si>
    <t>WO_12.16</t>
  </si>
  <si>
    <t xml:space="preserve">WO_12.23 </t>
  </si>
  <si>
    <t>WO_12.30</t>
  </si>
  <si>
    <t>WO_1.6</t>
  </si>
  <si>
    <t>WO_1.13</t>
  </si>
  <si>
    <t>WO_1.20</t>
  </si>
  <si>
    <t>WO_1.27</t>
  </si>
  <si>
    <t>WO_2.3</t>
  </si>
  <si>
    <t>WO_2.10</t>
  </si>
  <si>
    <t>WO_2.17</t>
  </si>
  <si>
    <t>WO_2.24</t>
  </si>
  <si>
    <t>WO_3.2</t>
  </si>
  <si>
    <t>WO_3.9</t>
  </si>
  <si>
    <t>WO_3.16</t>
  </si>
  <si>
    <t>WO_3.23</t>
  </si>
  <si>
    <t>WO_3.30</t>
  </si>
  <si>
    <t>WO_4.6</t>
  </si>
  <si>
    <t>WO_4.13</t>
  </si>
  <si>
    <t>WO_4.20</t>
  </si>
  <si>
    <t>WO_4.27</t>
  </si>
  <si>
    <t>WO_5.4</t>
  </si>
  <si>
    <t>WO_5.11</t>
  </si>
  <si>
    <t>WO_5.18</t>
  </si>
  <si>
    <t>WO_5.25</t>
  </si>
  <si>
    <t>WO_6.1</t>
  </si>
  <si>
    <t>WO_6.8</t>
  </si>
  <si>
    <t>WO_6.15</t>
  </si>
  <si>
    <t>1% of salaries - Ambrosia will follow up with invoice</t>
  </si>
  <si>
    <t>Possible will hire an additional teaching fellow</t>
  </si>
  <si>
    <t>Fingerprinting @ $100/person, $4500 LinkedIn, Recruiting dinners</t>
  </si>
  <si>
    <t>Quote - same security guard for building - 55,512 + Late nights for events</t>
  </si>
  <si>
    <t>Money for incidentals (pants, skirts, polos)</t>
  </si>
  <si>
    <t xml:space="preserve">Per AJ 6.7.19 </t>
  </si>
  <si>
    <t>$7200/month</t>
  </si>
  <si>
    <r>
      <rPr>
        <sz val="11"/>
        <color rgb="FF000000"/>
        <rFont val="Calibri"/>
        <family val="2"/>
        <scheme val="minor"/>
      </rPr>
      <t>Bronx Zoo:</t>
    </r>
    <r>
      <rPr>
        <sz val="11"/>
        <color indexed="8"/>
        <rFont val="Calibri"/>
        <family val="2"/>
        <scheme val="minor"/>
      </rPr>
      <t xml:space="preserve"> $2196 ( $16 per child (120) &amp; $23 per chaperone (276) GREEN MEADOWS FARM: 1300 KING SALIM: XX </t>
    </r>
  </si>
  <si>
    <t>10,368 for Workers Comp. Keep separate or consolidate?</t>
  </si>
  <si>
    <t>Year 1 Amended</t>
  </si>
  <si>
    <t>Nurse Office</t>
  </si>
  <si>
    <t xml:space="preserve">Expected
AJ to review and fill in - Juned also to review </t>
  </si>
  <si>
    <t>Davidson</t>
  </si>
  <si>
    <t>Kelsey</t>
  </si>
  <si>
    <t>Kimana</t>
  </si>
  <si>
    <t>Neilstrong</t>
  </si>
  <si>
    <t>Part-time</t>
  </si>
  <si>
    <t>Amira</t>
  </si>
  <si>
    <t>Davis</t>
  </si>
  <si>
    <t>Nicholas</t>
  </si>
  <si>
    <t>Desarie</t>
  </si>
  <si>
    <t>DOE Nurse</t>
  </si>
  <si>
    <t>DOE School Food</t>
  </si>
  <si>
    <t>Lead Teacher to be filled Nov. 1, 2019</t>
  </si>
  <si>
    <t>Never started; never got paid</t>
  </si>
  <si>
    <t>Previously called General Ed Teachers</t>
  </si>
  <si>
    <t xml:space="preserve">         5205 Lead Teachers</t>
  </si>
  <si>
    <t xml:space="preserve">         5207 Co-Teachers</t>
  </si>
  <si>
    <t>Previously a Teaching Fellow</t>
  </si>
  <si>
    <t>Did not return at start of School Year</t>
  </si>
  <si>
    <t>Anticipated start of Nov. 1, 2019</t>
  </si>
  <si>
    <t>Notes</t>
  </si>
  <si>
    <t>Last day of work Sept. 3, 2019</t>
  </si>
  <si>
    <t>Adjustment</t>
  </si>
  <si>
    <t>Capital Budget</t>
  </si>
  <si>
    <t>Fiscal Year 2019-20</t>
  </si>
  <si>
    <t>Sub-Category</t>
  </si>
  <si>
    <t>New Account Group</t>
  </si>
  <si>
    <t>Budgeted</t>
  </si>
  <si>
    <t>Amount</t>
  </si>
  <si>
    <t>Chairs, desks, tables</t>
  </si>
  <si>
    <t>Networked printers, standalone printers for general use</t>
  </si>
  <si>
    <t>Major software purchases for office use</t>
  </si>
  <si>
    <t>Non-IT Instructional Equipment</t>
  </si>
  <si>
    <t>Photocopiers, scanners, shredders, microwaves</t>
  </si>
  <si>
    <t>Major software purchases for Instructional purposes</t>
  </si>
  <si>
    <t>Network infrastructure contruction and major improvements (wiring, servers, wireless points)</t>
  </si>
  <si>
    <t>Security Cameras</t>
  </si>
  <si>
    <t>Vendors for capital acquisitions</t>
  </si>
  <si>
    <t>Expenditures</t>
  </si>
  <si>
    <t>Johnson Ambrosia</t>
  </si>
  <si>
    <t>Head of School</t>
  </si>
  <si>
    <t>Director of Operations</t>
  </si>
  <si>
    <t>Torres Shanell</t>
  </si>
  <si>
    <t>Office Coordinator</t>
  </si>
  <si>
    <t>Williams Diana</t>
  </si>
  <si>
    <t>Dean of Special Supports</t>
  </si>
  <si>
    <t>Davidson Kelsey</t>
  </si>
  <si>
    <t>Teacher - Founding Teacher</t>
  </si>
  <si>
    <t>Grace Jada</t>
  </si>
  <si>
    <t>Teacher - Elementary Teacher</t>
  </si>
  <si>
    <t>Wilkerson Jenise</t>
  </si>
  <si>
    <t>Teacher - Teaching Fellow</t>
  </si>
  <si>
    <t>Nicholas Desarie</t>
  </si>
  <si>
    <t xml:space="preserve">Teacher - Social Worker </t>
  </si>
  <si>
    <t>Blair Danielle</t>
  </si>
  <si>
    <t>Davis Amira</t>
  </si>
  <si>
    <t>Teacher - Dance Instructor</t>
  </si>
  <si>
    <t>Doster Ayesha</t>
  </si>
  <si>
    <t>Teacher - Lead Teacher</t>
  </si>
  <si>
    <t>Gil Vachelle</t>
  </si>
  <si>
    <t>Teacher - Co-Teacher</t>
  </si>
  <si>
    <t>Holdip Raven</t>
  </si>
  <si>
    <t>Neilstrong Kimana</t>
  </si>
  <si>
    <t>Teacher - Founding Martial Arts</t>
  </si>
  <si>
    <t>Premium</t>
  </si>
  <si>
    <t>EE Share</t>
  </si>
  <si>
    <t>ER Share</t>
  </si>
  <si>
    <t>Annual</t>
  </si>
  <si>
    <t>Plan</t>
  </si>
  <si>
    <t>Tier</t>
  </si>
  <si>
    <t>EPO2000</t>
  </si>
  <si>
    <t>S</t>
  </si>
  <si>
    <t>EPO3000</t>
  </si>
  <si>
    <t>E/S</t>
  </si>
  <si>
    <t>HSA3000</t>
  </si>
  <si>
    <t>PPO2000</t>
  </si>
  <si>
    <t>%</t>
  </si>
  <si>
    <t>Jul - Dec</t>
  </si>
  <si>
    <t>FY19-20</t>
  </si>
  <si>
    <t>July 1 - December 31</t>
  </si>
  <si>
    <t>January 1 - June 30 (assume 15% increase)</t>
  </si>
  <si>
    <t>Medical Insurance</t>
  </si>
  <si>
    <t>ER Annual</t>
  </si>
  <si>
    <t>New Hire</t>
  </si>
  <si>
    <t>AD&amp;D</t>
  </si>
  <si>
    <t>Total Enrollment</t>
  </si>
  <si>
    <t>2018-2019 Pre-Opening</t>
  </si>
  <si>
    <t>Budget</t>
  </si>
  <si>
    <t>1500 Office Equipment, Furniture &amp; Fixtures:</t>
  </si>
  <si>
    <t>1520 Classroom Equipment, Furniture &amp; Fixtures:</t>
  </si>
  <si>
    <t>1540 Technology (IT):</t>
  </si>
  <si>
    <t>1541 Student Computers</t>
  </si>
  <si>
    <t>1542 Staff Computers</t>
  </si>
  <si>
    <t>1543 Printers</t>
  </si>
  <si>
    <t>1544 Audio Visual - Classrooms</t>
  </si>
  <si>
    <t>1545 Audio Visual - Cafeteria</t>
  </si>
  <si>
    <t>1546 Software - Instructional</t>
  </si>
  <si>
    <t>1547 Software - Non-Instructional</t>
  </si>
  <si>
    <t>1549 Security</t>
  </si>
  <si>
    <t>1521 Classroom Equipment</t>
  </si>
  <si>
    <t>1522 Classroom Furniture &amp; Fixtures</t>
  </si>
  <si>
    <t>1501 Office Equipment</t>
  </si>
  <si>
    <t>1502 Office Furniture &amp; Fixtures</t>
  </si>
  <si>
    <t>Pre-Opening</t>
  </si>
  <si>
    <t xml:space="preserve">       1501 Office Equipment</t>
  </si>
  <si>
    <t xml:space="preserve">       1502 Office Furniture &amp; Fixtures</t>
  </si>
  <si>
    <t xml:space="preserve">       1521 Classroom Equipment</t>
  </si>
  <si>
    <t xml:space="preserve">       1522 Classroom Furniture &amp; Fixtures</t>
  </si>
  <si>
    <t xml:space="preserve">       1541 Student Computers</t>
  </si>
  <si>
    <t xml:space="preserve">       1542 Staff Computers</t>
  </si>
  <si>
    <t xml:space="preserve">       1552 Major Repairs</t>
  </si>
  <si>
    <t>1560 Leasehold Improvements:</t>
  </si>
  <si>
    <t>1561 Construction</t>
  </si>
  <si>
    <t>1562 Major Repairs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</si>
  <si>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</si>
  <si>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</si>
  <si>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</si>
  <si>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</si>
  <si>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</si>
  <si>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</si>
  <si>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</si>
  <si>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 xml:space="preserve">       1561 Construction</t>
  </si>
  <si>
    <t>CTS</t>
  </si>
  <si>
    <t>Chameleon</t>
  </si>
  <si>
    <t>Extra Mile Construction</t>
  </si>
  <si>
    <t>Old Capital Account Codes:</t>
  </si>
  <si>
    <t xml:space="preserve">       1550 Website Development</t>
  </si>
  <si>
    <t>1551 Student Information System</t>
  </si>
  <si>
    <t xml:space="preserve">       1551 Student Information System</t>
  </si>
  <si>
    <t>1552 Whiteboards</t>
  </si>
  <si>
    <t xml:space="preserve">       1552 Whiteboards</t>
  </si>
  <si>
    <t>SEE ENROLLMENT TAB (120 enrollment, 4% attrition (previously 12%))</t>
  </si>
  <si>
    <t>Budget Notes</t>
  </si>
  <si>
    <t>School Year 2019-2020 (Year 1)</t>
  </si>
  <si>
    <t>$ Remaining</t>
  </si>
  <si>
    <t>% Achieved/Utilized</t>
  </si>
  <si>
    <t>Budget Details</t>
  </si>
  <si>
    <t>Actuals at</t>
  </si>
  <si>
    <t>% Achieved/</t>
  </si>
  <si>
    <t>Utilized</t>
  </si>
  <si>
    <t xml:space="preserve">         5212 Founding Teachers</t>
  </si>
  <si>
    <t>Title ($5.5K), DYCD ($5000) Note: Refund of $4K received from CSBM</t>
  </si>
  <si>
    <r>
      <rPr>
        <b/>
        <u/>
        <sz val="9"/>
        <color rgb="FF000000"/>
        <rFont val="Arial Narrow"/>
        <family val="2"/>
      </rPr>
      <t>3</t>
    </r>
    <r>
      <rPr>
        <sz val="9"/>
        <color indexed="8"/>
        <rFont val="Arial Narrow"/>
        <family val="2"/>
      </rPr>
      <t xml:space="preserve"> New positions @ $5,500 each</t>
    </r>
  </si>
  <si>
    <t xml:space="preserve">         5160 Bus Matrons</t>
  </si>
  <si>
    <t>Balance Sheet</t>
  </si>
  <si>
    <t>ASSETS</t>
  </si>
  <si>
    <t xml:space="preserve">   Current Assets</t>
  </si>
  <si>
    <t xml:space="preserve">      Bank Accounts</t>
  </si>
  <si>
    <t xml:space="preserve">            1010 Checking - 8716</t>
  </si>
  <si>
    <t xml:space="preserve">            1015 Debit Card - 8732</t>
  </si>
  <si>
    <t xml:space="preserve">         Total 1000 Cash</t>
  </si>
  <si>
    <t xml:space="preserve">         1072 Bill.com Money Out Clearing</t>
  </si>
  <si>
    <t xml:space="preserve">      Total Bank Accounts</t>
  </si>
  <si>
    <t xml:space="preserve">         1200 Grants Receivable</t>
  </si>
  <si>
    <t xml:space="preserve">         1300 Other Receivables</t>
  </si>
  <si>
    <t xml:space="preserve">            1405 Prepaid Expenses.</t>
  </si>
  <si>
    <t xml:space="preserve">            1410 Prepaid Insurance</t>
  </si>
  <si>
    <t xml:space="preserve">            1415 Prepaid Benefits</t>
  </si>
  <si>
    <t xml:space="preserve">            1460 Deposits &amp; Retainers</t>
  </si>
  <si>
    <t xml:space="preserve">         Total 1400 Prepaid Expenses</t>
  </si>
  <si>
    <t xml:space="preserve">      Total Other Current Assets</t>
  </si>
  <si>
    <t xml:space="preserve">   Total Current Assets</t>
  </si>
  <si>
    <t xml:space="preserve">   Fixed Assets</t>
  </si>
  <si>
    <t xml:space="preserve">         1542 Staff Computers</t>
  </si>
  <si>
    <t xml:space="preserve">         1549 Security System</t>
  </si>
  <si>
    <t xml:space="preserve">   Total Fixed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</si>
  <si>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</si>
  <si>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</si>
  <si>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</si>
  <si>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</si>
  <si>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   2000 Accounts Payable (A/P)</t>
  </si>
  <si>
    <t xml:space="preserve">         Total Accounts Payable</t>
  </si>
  <si>
    <t xml:space="preserve">            2200 Accrued Expenses</t>
  </si>
  <si>
    <t xml:space="preserve">               2210 Expenses</t>
  </si>
  <si>
    <t xml:space="preserve">            Total 2200 Accrued Expenses</t>
  </si>
  <si>
    <t xml:space="preserve">            2300 Misc Payables</t>
  </si>
  <si>
    <t xml:space="preserve">            2400 Unearned/Deferred Revenue</t>
  </si>
  <si>
    <t xml:space="preserve">            2830 403(b) Contribution Payabla - Roth</t>
  </si>
  <si>
    <t xml:space="preserve">            2840 403(b) Contributions Payable - Traditional</t>
  </si>
  <si>
    <t xml:space="preserve">         Total Other Current Liabilities</t>
  </si>
  <si>
    <t xml:space="preserve">      Total Current Liabilities</t>
  </si>
  <si>
    <t xml:space="preserve">         2920 Deferred Rent</t>
  </si>
  <si>
    <t xml:space="preserve">      Total Long-Term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</si>
  <si>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</si>
  <si>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</si>
  <si>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</si>
  <si>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</si>
  <si>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</si>
  <si>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</si>
  <si>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NYC public school district</t>
  </si>
  <si>
    <t>Federal CSP</t>
  </si>
  <si>
    <t>Title Grants</t>
  </si>
  <si>
    <t xml:space="preserve"> </t>
  </si>
  <si>
    <t>Statement of financial position as of  June 30, 2016</t>
  </si>
  <si>
    <t>TOTAL CASH AVAILABLE</t>
  </si>
  <si>
    <t>COMPENSATION EXPENSE</t>
  </si>
  <si>
    <t>Payroll Related</t>
  </si>
  <si>
    <t>Health care and other benefits</t>
  </si>
  <si>
    <t>TOTAL COMPENSATION EXPENSE</t>
  </si>
  <si>
    <t>Other Than Personnel Costs - Ongoing</t>
  </si>
  <si>
    <t>Supplies and other materials</t>
  </si>
  <si>
    <t>Consultants and other Operations</t>
  </si>
  <si>
    <t>Facility</t>
  </si>
  <si>
    <t>Total Other Than Personnel Costs - Ongoing</t>
  </si>
  <si>
    <t>TOTAL CASH OUTFLOWS</t>
  </si>
  <si>
    <t>TOTAL CASH BALANCE - PROJECTED</t>
  </si>
  <si>
    <t>Pmt of existing Accounts Payable &amp; Accrued @ 8/31/18</t>
  </si>
  <si>
    <t>Lease/Facility Assistance</t>
  </si>
  <si>
    <t>CSP</t>
  </si>
  <si>
    <t xml:space="preserve">  Student services and classroom costs</t>
  </si>
  <si>
    <t>Fixed assets acquisition</t>
  </si>
  <si>
    <t>IVY Hill Preparatory Charter School</t>
  </si>
  <si>
    <t>Deferred Rent Schedule</t>
  </si>
  <si>
    <t>Benefits Schedule for Fiscal Year 2019-20</t>
  </si>
  <si>
    <t>Schedule of Staff Salaries for Fiscal Year 2019-20</t>
  </si>
  <si>
    <t>Projected Enrollment for Fiscal Year 2019-20</t>
  </si>
  <si>
    <t>Original Budget</t>
  </si>
  <si>
    <t>SchoolMint</t>
  </si>
  <si>
    <t>Bruce Toussiant, KashAri Contracting, MZLocksmith and WatchGuard, Extra Mile, hallway lights</t>
  </si>
  <si>
    <t>1548 Computer Network</t>
  </si>
  <si>
    <t>1550 Website</t>
  </si>
  <si>
    <t>School Mint, Power School</t>
  </si>
  <si>
    <t>Modified</t>
  </si>
  <si>
    <t>3rd Floor Buildout; Compliant windows</t>
  </si>
  <si>
    <t>Installation of a school-wide Public Announcement System</t>
  </si>
  <si>
    <t xml:space="preserve">         1000 Cash</t>
  </si>
  <si>
    <t xml:space="preserve">            1020 Savings - Reserves - 6001</t>
  </si>
  <si>
    <t xml:space="preserve">            1025 Escrow - 8724</t>
  </si>
  <si>
    <t xml:space="preserve">      Other Current Assets</t>
  </si>
  <si>
    <t xml:space="preserve">         1400 Prepaid Expenses</t>
  </si>
  <si>
    <t xml:space="preserve">      1500 Office Furniture, Fixtures &amp; Equipment</t>
  </si>
  <si>
    <t xml:space="preserve">         1501 Office Equipment</t>
  </si>
  <si>
    <t xml:space="preserve">         1502 Office Furniture &amp; Fixtures</t>
  </si>
  <si>
    <t xml:space="preserve">      Total 1500 Office Furniture, Fixtures &amp; Equipment</t>
  </si>
  <si>
    <t xml:space="preserve">      1520 Classroom Equipment, Furniture &amp; Fixtures</t>
  </si>
  <si>
    <t xml:space="preserve">         1521 Classroom Furniture</t>
  </si>
  <si>
    <t xml:space="preserve">      Total 1520 Classroom Equipment, Furniture &amp; Fixtures</t>
  </si>
  <si>
    <t xml:space="preserve">      1540 Information Technology</t>
  </si>
  <si>
    <t xml:space="preserve">         1548 Computer Network</t>
  </si>
  <si>
    <t xml:space="preserve">      Total 1540 Information Technology</t>
  </si>
  <si>
    <t xml:space="preserve">         Accounts Payable</t>
  </si>
  <si>
    <t xml:space="preserve">         Other Current Liabilities</t>
  </si>
  <si>
    <t xml:space="preserve">      Long-Term Liabilities</t>
  </si>
  <si>
    <t>As of September 30, 2019</t>
  </si>
  <si>
    <t>Actuals at 9/30/19</t>
  </si>
  <si>
    <t xml:space="preserve">Modified Budget </t>
  </si>
  <si>
    <t xml:space="preserve">         5520 STD, LTD, Life Insur. and NYS Disability Insur., HSA and AD&amp;D</t>
  </si>
  <si>
    <t xml:space="preserve">         1543 Printers</t>
  </si>
  <si>
    <t xml:space="preserve">         1544 Audio Visuals - Clasrooms</t>
  </si>
  <si>
    <t xml:space="preserve">         1545 Audio Visual - Cafeteria</t>
  </si>
  <si>
    <t>Tablets, Laptops; 20 chromebooks @ $160 (2 classrooms)</t>
  </si>
  <si>
    <t>Tablets, Laptops, Desktops, laptop carts, computers for 6 new staff at $1.333 per teacher</t>
  </si>
  <si>
    <t>Smartboards, projectors, screens, 8 classrooms at $3K per classroom</t>
  </si>
  <si>
    <t>*</t>
  </si>
  <si>
    <t>2 classrooms at $2K each</t>
  </si>
  <si>
    <t>* Qualifies for CSP reimbursement</t>
  </si>
  <si>
    <t>New construction - 3rd floor buildout with lighting</t>
  </si>
  <si>
    <t>Major repairs (scope and cost); bathroom and windows repairs</t>
  </si>
  <si>
    <t>$3K for Tier 2 Support, $7K for HOS PD and $10K for BES follow on support</t>
  </si>
  <si>
    <t>$100/student</t>
  </si>
  <si>
    <t>Desks, chairs, whiteboards, 4 classrooms @ $20K on third floor and 2 more on 2nd</t>
  </si>
  <si>
    <t xml:space="preserve">      6037 Stipends</t>
  </si>
  <si>
    <t>Brandon</t>
  </si>
  <si>
    <t>Anticipated start Oct. 1, 2019</t>
  </si>
  <si>
    <t>Parker</t>
  </si>
  <si>
    <t xml:space="preserve">         1541 Student Computers</t>
  </si>
  <si>
    <t xml:space="preserve">         1552 Whiteboards</t>
  </si>
  <si>
    <t>Cash Balance (Unrestricted) @ 9/30/19</t>
  </si>
  <si>
    <t>Statement of cash flows for the period October 1, 2019  - February 28, 2020</t>
  </si>
  <si>
    <t>3 New positions @ $5,500 each</t>
  </si>
  <si>
    <t>Placeholder for Misc. professionals and consulting</t>
  </si>
  <si>
    <t>Lifelong Readers (13k) Reading Mastery (6k)  Lit Computer Program (6k)</t>
  </si>
  <si>
    <t>Powerschool ($13.7K), Tech Servicing (EdIT) $24k</t>
  </si>
  <si>
    <t>Revenue</t>
  </si>
  <si>
    <t>Compensation</t>
  </si>
  <si>
    <t>Rent</t>
  </si>
  <si>
    <t>Repairs &amp; Maintence</t>
  </si>
  <si>
    <t>Insurance</t>
  </si>
  <si>
    <t>School Lunches</t>
  </si>
  <si>
    <t>Office Supplies</t>
  </si>
  <si>
    <t>Student Testing</t>
  </si>
  <si>
    <t>Technology</t>
  </si>
  <si>
    <t>Textbooks/Curriculum</t>
  </si>
  <si>
    <t>Classroom &amp; Teaching Materials</t>
  </si>
  <si>
    <t>SPED supplies &amp; materials</t>
  </si>
  <si>
    <t>Telephone</t>
  </si>
  <si>
    <t>Operational</t>
  </si>
  <si>
    <t>Direct Education</t>
  </si>
  <si>
    <t>Suppelmental</t>
  </si>
  <si>
    <t>Other Supplies &amp; Materials</t>
  </si>
  <si>
    <t>Equipment and Furniture</t>
  </si>
  <si>
    <t>Student Travel &amp; Services</t>
  </si>
  <si>
    <t>Staff Development</t>
  </si>
  <si>
    <t>Staff Recruitment</t>
  </si>
  <si>
    <t>Student Recruitment</t>
  </si>
  <si>
    <t>Staff Travel</t>
  </si>
  <si>
    <t>Fundraising</t>
  </si>
  <si>
    <t>Professional Services</t>
  </si>
  <si>
    <t>Accounting/Audit Services</t>
  </si>
  <si>
    <t>Legal - Paid</t>
  </si>
  <si>
    <t>Stipends</t>
  </si>
  <si>
    <t>Special Ed Services</t>
  </si>
  <si>
    <t>Substitute Teaching Services</t>
  </si>
  <si>
    <t>Board Expense</t>
  </si>
  <si>
    <t>Capital</t>
  </si>
  <si>
    <t>Office Furniture &amp; Fixtures</t>
  </si>
  <si>
    <t>Classroom Equipment</t>
  </si>
  <si>
    <t>Classroom Furniture &amp; Fixtures</t>
  </si>
  <si>
    <t>Student Computers</t>
  </si>
  <si>
    <t>Staff Computers</t>
  </si>
  <si>
    <t xml:space="preserve"> Printers</t>
  </si>
  <si>
    <t>Audio Visual - Classrooms</t>
  </si>
  <si>
    <t xml:space="preserve"> Audio Visual - Cafeteria</t>
  </si>
  <si>
    <t>Network Construction</t>
  </si>
  <si>
    <t>Security</t>
  </si>
  <si>
    <t>Whiteboards</t>
  </si>
  <si>
    <t>Construction</t>
  </si>
  <si>
    <t>Major Repairs</t>
  </si>
  <si>
    <t>Net Income</t>
  </si>
  <si>
    <t>Cash Income/Deficit</t>
  </si>
  <si>
    <t>Grant Services</t>
  </si>
  <si>
    <t>Starting Cash Balance</t>
  </si>
  <si>
    <t>Ending Cash Balance</t>
  </si>
  <si>
    <t>Payroll Services</t>
  </si>
  <si>
    <t>Financial Management Services</t>
  </si>
  <si>
    <t>monthly operational costs</t>
  </si>
  <si>
    <t>Office Equipment</t>
  </si>
  <si>
    <t>Change</t>
  </si>
  <si>
    <t xml:space="preserve">Current </t>
  </si>
  <si>
    <t>Other Professional / Consulting</t>
  </si>
  <si>
    <t>Savings due to open positions</t>
  </si>
  <si>
    <t xml:space="preserve">increase due to processed invoices from year zero </t>
  </si>
  <si>
    <t>increase to reflect contractual amount</t>
  </si>
  <si>
    <t>increase to reflect actuals processed Sept YTD</t>
  </si>
  <si>
    <t>savings due to textbook est reduced from $200/student to $100/student</t>
  </si>
  <si>
    <t>increase in student uniforms</t>
  </si>
  <si>
    <t>decreased to align with last year spend</t>
  </si>
  <si>
    <t>decrease due to change in BOP</t>
  </si>
  <si>
    <t>increase due to est update $105/employee</t>
  </si>
  <si>
    <t>increase to cover board development with Board on Track</t>
  </si>
  <si>
    <t>Year 1 Budget</t>
  </si>
  <si>
    <t>decrease due to change in rent allocation</t>
  </si>
  <si>
    <t>Network infrastructure contruction  (wiring, servers, wireless points)</t>
  </si>
  <si>
    <t xml:space="preserve">Tablets, Laptops, Desktops, laptop carts, computers for 6 new staff </t>
  </si>
  <si>
    <t>Desks, chairs,  4 classrooms @ $20K on third floor and 2 more on 2nd</t>
  </si>
  <si>
    <t>Remaining</t>
  </si>
  <si>
    <t>Sept YTD</t>
  </si>
  <si>
    <t>HOS wants to ensure enough coverage is available</t>
  </si>
  <si>
    <t>savings due to removal of nurse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</si>
</sst>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0.0%"/>
    <numFmt numFmtId="167" formatCode="_(* #,##0.0000_);_(* \(#,##0.0000\);_(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.00"/>
    <numFmt numFmtId="171" formatCode="#,##0\ _€"/>
    <numFmt numFmtId="172" formatCode="&quot;$&quot;* #,##0\ _€"/>
    <numFmt numFmtId="173" formatCode="0.0"/>
  </numFmts>
  <fonts count="10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1"/>
      <color rgb="FF3333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rgb="FF22222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16"/>
      <name val="Calibri"/>
      <family val="2"/>
      <scheme val="minor"/>
    </font>
    <font>
      <b/>
      <i/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indexed="8"/>
      <name val="Arial"/>
      <family val="2"/>
    </font>
    <font>
      <b/>
      <u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Calibri"/>
      <family val="2"/>
      <scheme val="minor"/>
    </font>
    <font>
      <sz val="10"/>
      <color rgb="FFFF0000"/>
      <name val="Calibri (Body)_x0000_"/>
    </font>
    <font>
      <b/>
      <i/>
      <sz val="10"/>
      <name val="Calibri"/>
      <family val="2"/>
      <scheme val="minor"/>
    </font>
    <font>
      <b/>
      <sz val="10"/>
      <color theme="1"/>
      <name val="Calibri (Body)_x0000_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Arial Narrow"/>
      <family val="2"/>
    </font>
    <font>
      <sz val="9"/>
      <color rgb="FFFF0000"/>
      <name val="Arial Narrow"/>
      <family val="2"/>
    </font>
    <font>
      <b/>
      <sz val="9"/>
      <color indexed="8"/>
      <name val="Arial Narrow"/>
      <family val="2"/>
    </font>
    <font>
      <b/>
      <sz val="9"/>
      <color theme="0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sz val="11"/>
      <color indexed="8"/>
      <name val="Arial Narrow"/>
      <family val="2"/>
    </font>
    <font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u/>
      <sz val="11"/>
      <color indexed="8"/>
      <name val="Arial Narrow"/>
      <family val="2"/>
    </font>
    <font>
      <sz val="11"/>
      <color theme="1"/>
      <name val="Arial Narrow"/>
      <family val="2"/>
    </font>
    <font>
      <b/>
      <i/>
      <u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theme="1"/>
      <name val="Arial Narrow"/>
      <family val="2"/>
    </font>
    <font>
      <b/>
      <u/>
      <sz val="9"/>
      <color rgb="FF00000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theme="4"/>
      </right>
      <top/>
      <bottom/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</cellStyleXfs>
  <cellXfs count="916">
    <xf numFmtId="0" fontId="0" fillId="0" borderId="0" xfId="0"/>
    <xf numFmtId="41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41" fontId="8" fillId="2" borderId="3" xfId="0" applyNumberFormat="1" applyFont="1" applyFill="1" applyBorder="1" applyAlignment="1" applyProtection="1">
      <alignment horizontal="center" vertical="center"/>
      <protection locked="0"/>
    </xf>
    <xf numFmtId="166" fontId="10" fillId="5" borderId="0" xfId="2" applyNumberFormat="1" applyFont="1" applyFill="1"/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9" fontId="10" fillId="5" borderId="0" xfId="2" applyFont="1" applyFill="1"/>
    <xf numFmtId="1" fontId="10" fillId="0" borderId="2" xfId="0" applyNumberFormat="1" applyFont="1" applyFill="1" applyBorder="1"/>
    <xf numFmtId="0" fontId="10" fillId="0" borderId="0" xfId="0" applyFont="1" applyFill="1" applyBorder="1" applyAlignment="1">
      <alignment horizontal="right"/>
    </xf>
    <xf numFmtId="9" fontId="9" fillId="4" borderId="0" xfId="0" applyNumberFormat="1" applyFont="1" applyFill="1"/>
    <xf numFmtId="0" fontId="10" fillId="0" borderId="0" xfId="0" applyFont="1" applyFill="1"/>
    <xf numFmtId="43" fontId="10" fillId="0" borderId="0" xfId="0" applyNumberFormat="1" applyFont="1" applyFill="1"/>
    <xf numFmtId="43" fontId="10" fillId="0" borderId="0" xfId="1" applyFont="1" applyFill="1"/>
    <xf numFmtId="0" fontId="11" fillId="6" borderId="0" xfId="0" applyFont="1" applyFill="1"/>
    <xf numFmtId="43" fontId="11" fillId="6" borderId="0" xfId="0" applyNumberFormat="1" applyFont="1" applyFill="1"/>
    <xf numFmtId="0" fontId="3" fillId="0" borderId="0" xfId="5"/>
    <xf numFmtId="0" fontId="14" fillId="9" borderId="0" xfId="5" applyFont="1" applyFill="1" applyAlignment="1"/>
    <xf numFmtId="0" fontId="0" fillId="9" borderId="0" xfId="5" applyFont="1" applyFill="1"/>
    <xf numFmtId="0" fontId="3" fillId="9" borderId="0" xfId="5" applyFill="1"/>
    <xf numFmtId="0" fontId="16" fillId="0" borderId="0" xfId="6" applyFont="1" applyFill="1" applyAlignment="1"/>
    <xf numFmtId="0" fontId="10" fillId="0" borderId="0" xfId="6" applyFont="1" applyFill="1" applyBorder="1" applyAlignment="1">
      <alignment horizontal="center"/>
    </xf>
    <xf numFmtId="0" fontId="10" fillId="0" borderId="0" xfId="6" applyFont="1" applyFill="1" applyAlignment="1"/>
    <xf numFmtId="0" fontId="3" fillId="0" borderId="0" xfId="5" applyAlignment="1"/>
    <xf numFmtId="0" fontId="17" fillId="0" borderId="0" xfId="6" applyFont="1" applyFill="1" applyBorder="1" applyAlignment="1">
      <alignment horizontal="center"/>
    </xf>
    <xf numFmtId="0" fontId="10" fillId="10" borderId="0" xfId="6" applyFont="1" applyFill="1" applyAlignment="1"/>
    <xf numFmtId="0" fontId="10" fillId="0" borderId="0" xfId="6" applyFont="1" applyFill="1" applyAlignment="1">
      <alignment horizontal="center"/>
    </xf>
    <xf numFmtId="1" fontId="16" fillId="0" borderId="5" xfId="6" applyNumberFormat="1" applyFont="1" applyFill="1" applyBorder="1" applyAlignment="1">
      <alignment vertical="center"/>
    </xf>
    <xf numFmtId="0" fontId="17" fillId="0" borderId="6" xfId="6" applyFont="1" applyFill="1" applyBorder="1" applyAlignment="1">
      <alignment horizontal="center"/>
    </xf>
    <xf numFmtId="0" fontId="17" fillId="0" borderId="2" xfId="6" applyFont="1" applyFill="1" applyBorder="1" applyAlignment="1">
      <alignment horizontal="center"/>
    </xf>
    <xf numFmtId="0" fontId="10" fillId="0" borderId="2" xfId="6" applyFont="1" applyFill="1" applyBorder="1" applyAlignment="1">
      <alignment horizontal="center"/>
    </xf>
    <xf numFmtId="0" fontId="18" fillId="0" borderId="2" xfId="6" applyFont="1" applyFill="1" applyBorder="1" applyAlignment="1">
      <alignment horizontal="center"/>
    </xf>
    <xf numFmtId="0" fontId="19" fillId="0" borderId="5" xfId="6" applyFont="1" applyFill="1" applyBorder="1" applyAlignment="1">
      <alignment horizontal="center"/>
    </xf>
    <xf numFmtId="0" fontId="10" fillId="0" borderId="6" xfId="6" applyFont="1" applyFill="1" applyBorder="1" applyAlignment="1">
      <alignment horizontal="center"/>
    </xf>
    <xf numFmtId="0" fontId="16" fillId="0" borderId="2" xfId="6" applyFont="1" applyFill="1" applyBorder="1" applyAlignment="1">
      <alignment horizontal="center"/>
    </xf>
    <xf numFmtId="0" fontId="10" fillId="0" borderId="7" xfId="6" applyFont="1" applyFill="1" applyBorder="1" applyAlignment="1">
      <alignment horizontal="left"/>
    </xf>
    <xf numFmtId="9" fontId="17" fillId="0" borderId="9" xfId="8" applyFont="1" applyFill="1" applyBorder="1" applyAlignment="1">
      <alignment horizontal="center"/>
    </xf>
    <xf numFmtId="167" fontId="10" fillId="0" borderId="9" xfId="9" applyNumberFormat="1" applyFont="1" applyFill="1" applyBorder="1" applyAlignment="1"/>
    <xf numFmtId="43" fontId="17" fillId="0" borderId="10" xfId="9" applyNumberFormat="1" applyFont="1" applyFill="1" applyBorder="1" applyAlignment="1">
      <alignment horizontal="center"/>
    </xf>
    <xf numFmtId="0" fontId="3" fillId="0" borderId="0" xfId="6" applyFill="1" applyAlignment="1"/>
    <xf numFmtId="168" fontId="17" fillId="0" borderId="9" xfId="10" applyNumberFormat="1" applyFont="1" applyFill="1" applyBorder="1" applyAlignment="1"/>
    <xf numFmtId="168" fontId="17" fillId="0" borderId="11" xfId="10" applyNumberFormat="1" applyFont="1" applyFill="1" applyBorder="1" applyAlignment="1"/>
    <xf numFmtId="0" fontId="10" fillId="0" borderId="9" xfId="6" applyFont="1" applyFill="1" applyBorder="1" applyAlignment="1"/>
    <xf numFmtId="43" fontId="10" fillId="0" borderId="9" xfId="9" applyFont="1" applyFill="1" applyBorder="1" applyAlignment="1">
      <alignment horizontal="center"/>
    </xf>
    <xf numFmtId="0" fontId="10" fillId="0" borderId="9" xfId="9" applyNumberFormat="1" applyFont="1" applyFill="1" applyBorder="1" applyAlignment="1">
      <alignment horizontal="center"/>
    </xf>
    <xf numFmtId="169" fontId="10" fillId="0" borderId="9" xfId="6" applyNumberFormat="1" applyFont="1" applyFill="1" applyBorder="1" applyAlignment="1"/>
    <xf numFmtId="169" fontId="17" fillId="0" borderId="9" xfId="6" applyNumberFormat="1" applyFont="1" applyFill="1" applyBorder="1" applyAlignment="1"/>
    <xf numFmtId="168" fontId="10" fillId="0" borderId="0" xfId="6" applyNumberFormat="1" applyFont="1" applyFill="1" applyAlignment="1"/>
    <xf numFmtId="0" fontId="10" fillId="0" borderId="12" xfId="6" applyFont="1" applyFill="1" applyBorder="1" applyAlignment="1">
      <alignment horizontal="left"/>
    </xf>
    <xf numFmtId="9" fontId="17" fillId="0" borderId="10" xfId="8" applyFont="1" applyFill="1" applyBorder="1" applyAlignment="1">
      <alignment horizontal="center"/>
    </xf>
    <xf numFmtId="167" fontId="10" fillId="0" borderId="10" xfId="9" applyNumberFormat="1" applyFont="1" applyFill="1" applyBorder="1" applyAlignment="1"/>
    <xf numFmtId="169" fontId="17" fillId="0" borderId="10" xfId="9" applyNumberFormat="1" applyFont="1" applyFill="1" applyBorder="1" applyAlignment="1">
      <alignment horizontal="center"/>
    </xf>
    <xf numFmtId="168" fontId="17" fillId="0" borderId="10" xfId="10" applyNumberFormat="1" applyFont="1" applyFill="1" applyBorder="1" applyAlignment="1"/>
    <xf numFmtId="168" fontId="17" fillId="0" borderId="14" xfId="10" applyNumberFormat="1" applyFont="1" applyFill="1" applyBorder="1" applyAlignment="1"/>
    <xf numFmtId="0" fontId="10" fillId="0" borderId="10" xfId="6" applyFont="1" applyFill="1" applyBorder="1" applyAlignment="1"/>
    <xf numFmtId="0" fontId="10" fillId="0" borderId="15" xfId="6" applyFont="1" applyFill="1" applyBorder="1" applyAlignment="1">
      <alignment horizontal="left"/>
    </xf>
    <xf numFmtId="9" fontId="17" fillId="0" borderId="17" xfId="8" applyFont="1" applyFill="1" applyBorder="1" applyAlignment="1">
      <alignment horizontal="center"/>
    </xf>
    <xf numFmtId="167" fontId="10" fillId="0" borderId="17" xfId="9" applyNumberFormat="1" applyFont="1" applyFill="1" applyBorder="1" applyAlignment="1"/>
    <xf numFmtId="168" fontId="17" fillId="0" borderId="17" xfId="10" applyNumberFormat="1" applyFont="1" applyFill="1" applyBorder="1" applyAlignment="1"/>
    <xf numFmtId="168" fontId="17" fillId="0" borderId="18" xfId="10" applyNumberFormat="1" applyFont="1" applyFill="1" applyBorder="1" applyAlignment="1"/>
    <xf numFmtId="0" fontId="16" fillId="11" borderId="19" xfId="6" applyFont="1" applyFill="1" applyBorder="1" applyAlignment="1">
      <alignment horizontal="left"/>
    </xf>
    <xf numFmtId="9" fontId="16" fillId="11" borderId="19" xfId="7" applyFont="1" applyFill="1" applyBorder="1" applyAlignment="1">
      <alignment horizontal="center"/>
    </xf>
    <xf numFmtId="9" fontId="17" fillId="11" borderId="19" xfId="8" applyFont="1" applyFill="1" applyBorder="1" applyAlignment="1">
      <alignment horizontal="center"/>
    </xf>
    <xf numFmtId="167" fontId="10" fillId="11" borderId="19" xfId="9" applyNumberFormat="1" applyFont="1" applyFill="1" applyBorder="1" applyAlignment="1"/>
    <xf numFmtId="167" fontId="10" fillId="11" borderId="19" xfId="6" applyNumberFormat="1" applyFont="1" applyFill="1" applyBorder="1" applyAlignment="1"/>
    <xf numFmtId="169" fontId="17" fillId="11" borderId="19" xfId="9" applyNumberFormat="1" applyFont="1" applyFill="1" applyBorder="1" applyAlignment="1">
      <alignment horizontal="center"/>
    </xf>
    <xf numFmtId="168" fontId="18" fillId="11" borderId="19" xfId="10" applyNumberFormat="1" applyFont="1" applyFill="1" applyBorder="1" applyAlignment="1"/>
    <xf numFmtId="0" fontId="10" fillId="0" borderId="0" xfId="6" applyFont="1" applyFill="1" applyBorder="1" applyAlignment="1">
      <alignment horizontal="left"/>
    </xf>
    <xf numFmtId="9" fontId="17" fillId="0" borderId="0" xfId="8" applyFont="1" applyFill="1" applyBorder="1" applyAlignment="1">
      <alignment horizontal="center"/>
    </xf>
    <xf numFmtId="167" fontId="10" fillId="0" borderId="0" xfId="9" applyNumberFormat="1" applyFont="1" applyFill="1" applyBorder="1" applyAlignment="1"/>
    <xf numFmtId="167" fontId="10" fillId="0" borderId="0" xfId="6" applyNumberFormat="1" applyFont="1" applyFill="1" applyBorder="1" applyAlignment="1"/>
    <xf numFmtId="169" fontId="17" fillId="0" borderId="0" xfId="9" applyNumberFormat="1" applyFont="1" applyFill="1" applyBorder="1" applyAlignment="1">
      <alignment horizontal="center"/>
    </xf>
    <xf numFmtId="0" fontId="17" fillId="0" borderId="0" xfId="6" applyFont="1" applyFill="1" applyBorder="1" applyAlignment="1"/>
    <xf numFmtId="168" fontId="18" fillId="10" borderId="20" xfId="10" applyNumberFormat="1" applyFont="1" applyFill="1" applyBorder="1" applyAlignment="1"/>
    <xf numFmtId="43" fontId="10" fillId="0" borderId="0" xfId="6" applyNumberFormat="1" applyFont="1" applyFill="1" applyAlignment="1"/>
    <xf numFmtId="0" fontId="10" fillId="0" borderId="21" xfId="6" applyFont="1" applyFill="1" applyBorder="1" applyAlignment="1"/>
    <xf numFmtId="9" fontId="10" fillId="0" borderId="22" xfId="6" applyNumberFormat="1" applyFont="1" applyFill="1" applyBorder="1" applyAlignment="1"/>
    <xf numFmtId="0" fontId="10" fillId="0" borderId="22" xfId="6" applyFont="1" applyFill="1" applyBorder="1" applyAlignment="1"/>
    <xf numFmtId="0" fontId="10" fillId="0" borderId="23" xfId="6" applyFont="1" applyFill="1" applyBorder="1" applyAlignment="1"/>
    <xf numFmtId="9" fontId="10" fillId="0" borderId="24" xfId="2" applyFont="1" applyFill="1" applyBorder="1" applyAlignment="1">
      <alignment horizontal="left"/>
    </xf>
    <xf numFmtId="0" fontId="10" fillId="0" borderId="25" xfId="6" applyFont="1" applyFill="1" applyBorder="1" applyAlignment="1"/>
    <xf numFmtId="43" fontId="10" fillId="0" borderId="0" xfId="9" applyFont="1" applyFill="1" applyBorder="1" applyAlignment="1"/>
    <xf numFmtId="43" fontId="10" fillId="0" borderId="0" xfId="6" applyNumberFormat="1" applyFont="1" applyFill="1" applyBorder="1" applyAlignment="1"/>
    <xf numFmtId="44" fontId="10" fillId="0" borderId="26" xfId="4" applyFont="1" applyFill="1" applyBorder="1" applyAlignment="1"/>
    <xf numFmtId="44" fontId="10" fillId="0" borderId="27" xfId="6" applyNumberFormat="1" applyFont="1" applyFill="1" applyBorder="1" applyAlignment="1"/>
    <xf numFmtId="9" fontId="10" fillId="0" borderId="0" xfId="7" applyFont="1" applyFill="1" applyBorder="1" applyAlignment="1">
      <alignment horizontal="center"/>
    </xf>
    <xf numFmtId="168" fontId="18" fillId="11" borderId="1" xfId="10" applyNumberFormat="1" applyFont="1" applyFill="1" applyBorder="1" applyAlignment="1"/>
    <xf numFmtId="0" fontId="10" fillId="0" borderId="28" xfId="6" applyFont="1" applyFill="1" applyBorder="1" applyAlignment="1"/>
    <xf numFmtId="43" fontId="10" fillId="0" borderId="29" xfId="6" applyNumberFormat="1" applyFont="1" applyFill="1" applyBorder="1" applyAlignment="1"/>
    <xf numFmtId="44" fontId="16" fillId="5" borderId="30" xfId="4" applyFont="1" applyFill="1" applyBorder="1" applyAlignment="1"/>
    <xf numFmtId="44" fontId="10" fillId="0" borderId="31" xfId="6" applyNumberFormat="1" applyFont="1" applyFill="1" applyBorder="1" applyAlignment="1"/>
    <xf numFmtId="169" fontId="17" fillId="0" borderId="0" xfId="11" applyNumberFormat="1" applyFont="1" applyFill="1" applyBorder="1" applyAlignment="1">
      <alignment horizontal="center"/>
    </xf>
    <xf numFmtId="0" fontId="10" fillId="0" borderId="2" xfId="6" applyFont="1" applyFill="1" applyBorder="1" applyAlignment="1">
      <alignment horizontal="left" wrapText="1"/>
    </xf>
    <xf numFmtId="168" fontId="10" fillId="0" borderId="2" xfId="12" applyNumberFormat="1" applyFont="1" applyFill="1" applyBorder="1" applyAlignment="1">
      <alignment horizontal="center"/>
    </xf>
    <xf numFmtId="0" fontId="14" fillId="0" borderId="0" xfId="3" applyFont="1" applyFill="1"/>
    <xf numFmtId="0" fontId="4" fillId="0" borderId="0" xfId="3" applyFill="1"/>
    <xf numFmtId="0" fontId="4" fillId="0" borderId="0" xfId="3" applyFill="1" applyBorder="1"/>
    <xf numFmtId="0" fontId="4" fillId="0" borderId="0" xfId="3" applyFill="1" applyBorder="1" applyAlignment="1">
      <alignment horizontal="center"/>
    </xf>
    <xf numFmtId="41" fontId="4" fillId="0" borderId="0" xfId="3" applyNumberFormat="1" applyFill="1" applyBorder="1" applyAlignment="1">
      <alignment horizontal="center"/>
    </xf>
    <xf numFmtId="6" fontId="21" fillId="7" borderId="2" xfId="3" applyNumberFormat="1" applyFont="1" applyFill="1" applyBorder="1" applyAlignment="1">
      <alignment horizontal="center"/>
    </xf>
    <xf numFmtId="0" fontId="14" fillId="0" borderId="0" xfId="3" applyFont="1" applyFill="1" applyBorder="1"/>
    <xf numFmtId="169" fontId="3" fillId="0" borderId="0" xfId="13" applyNumberFormat="1" applyFill="1" applyBorder="1" applyAlignment="1">
      <alignment horizontal="center"/>
    </xf>
    <xf numFmtId="0" fontId="0" fillId="0" borderId="0" xfId="3" applyFont="1" applyFill="1"/>
    <xf numFmtId="0" fontId="0" fillId="0" borderId="0" xfId="3" applyFont="1" applyFill="1" applyBorder="1"/>
    <xf numFmtId="0" fontId="3" fillId="0" borderId="0" xfId="3" applyFont="1" applyFill="1"/>
    <xf numFmtId="170" fontId="21" fillId="7" borderId="2" xfId="3" applyNumberFormat="1" applyFont="1" applyFill="1" applyBorder="1" applyAlignment="1">
      <alignment horizontal="center"/>
    </xf>
    <xf numFmtId="6" fontId="4" fillId="0" borderId="0" xfId="3" applyNumberFormat="1" applyFill="1" applyBorder="1" applyAlignment="1">
      <alignment horizontal="center"/>
    </xf>
    <xf numFmtId="41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/>
    <xf numFmtId="6" fontId="22" fillId="7" borderId="2" xfId="3" applyNumberFormat="1" applyFont="1" applyFill="1" applyBorder="1" applyAlignment="1">
      <alignment horizontal="center"/>
    </xf>
    <xf numFmtId="0" fontId="22" fillId="0" borderId="0" xfId="3" applyFont="1" applyFill="1" applyBorder="1"/>
    <xf numFmtId="41" fontId="4" fillId="0" borderId="32" xfId="3" applyNumberFormat="1" applyFill="1" applyBorder="1" applyAlignment="1">
      <alignment horizontal="center"/>
    </xf>
    <xf numFmtId="6" fontId="21" fillId="0" borderId="0" xfId="3" applyNumberFormat="1" applyFont="1" applyFill="1" applyBorder="1" applyAlignment="1">
      <alignment horizontal="center"/>
    </xf>
    <xf numFmtId="0" fontId="2" fillId="0" borderId="0" xfId="14"/>
    <xf numFmtId="168" fontId="27" fillId="0" borderId="0" xfId="15" applyNumberFormat="1" applyFont="1"/>
    <xf numFmtId="0" fontId="2" fillId="0" borderId="0" xfId="14" applyAlignment="1">
      <alignment horizontal="right"/>
    </xf>
    <xf numFmtId="44" fontId="2" fillId="0" borderId="0" xfId="14" applyNumberFormat="1"/>
    <xf numFmtId="44" fontId="28" fillId="0" borderId="0" xfId="14" applyNumberFormat="1" applyFont="1"/>
    <xf numFmtId="0" fontId="2" fillId="0" borderId="32" xfId="14" applyBorder="1"/>
    <xf numFmtId="44" fontId="0" fillId="0" borderId="0" xfId="15" applyFont="1"/>
    <xf numFmtId="44" fontId="14" fillId="0" borderId="0" xfId="15" applyFont="1"/>
    <xf numFmtId="0" fontId="14" fillId="0" borderId="0" xfId="14" applyFont="1"/>
    <xf numFmtId="0" fontId="29" fillId="0" borderId="0" xfId="14" applyFont="1" applyAlignment="1">
      <alignment vertical="center" wrapText="1"/>
    </xf>
    <xf numFmtId="44" fontId="30" fillId="13" borderId="0" xfId="15" applyFont="1" applyFill="1"/>
    <xf numFmtId="0" fontId="30" fillId="13" borderId="0" xfId="14" applyFont="1" applyFill="1"/>
    <xf numFmtId="44" fontId="31" fillId="13" borderId="0" xfId="15" applyFont="1" applyFill="1"/>
    <xf numFmtId="44" fontId="30" fillId="13" borderId="4" xfId="15" applyFont="1" applyFill="1" applyBorder="1"/>
    <xf numFmtId="0" fontId="30" fillId="13" borderId="4" xfId="14" applyFont="1" applyFill="1" applyBorder="1"/>
    <xf numFmtId="168" fontId="30" fillId="13" borderId="0" xfId="15" applyNumberFormat="1" applyFont="1" applyFill="1"/>
    <xf numFmtId="0" fontId="31" fillId="13" borderId="4" xfId="14" applyFont="1" applyFill="1" applyBorder="1"/>
    <xf numFmtId="0" fontId="31" fillId="13" borderId="0" xfId="14" applyFont="1" applyFill="1"/>
    <xf numFmtId="0" fontId="2" fillId="0" borderId="0" xfId="14" applyAlignment="1">
      <alignment vertical="center" wrapText="1"/>
    </xf>
    <xf numFmtId="0" fontId="31" fillId="13" borderId="0" xfId="14" applyFont="1" applyFill="1" applyAlignment="1">
      <alignment horizontal="center"/>
    </xf>
    <xf numFmtId="0" fontId="31" fillId="0" borderId="4" xfId="14" applyFont="1" applyBorder="1" applyAlignment="1">
      <alignment horizontal="center"/>
    </xf>
    <xf numFmtId="0" fontId="31" fillId="0" borderId="0" xfId="14" applyFont="1" applyAlignment="1">
      <alignment horizontal="right"/>
    </xf>
    <xf numFmtId="0" fontId="2" fillId="13" borderId="0" xfId="14" applyFill="1" applyBorder="1"/>
    <xf numFmtId="44" fontId="0" fillId="13" borderId="0" xfId="15" applyFont="1" applyFill="1"/>
    <xf numFmtId="44" fontId="0" fillId="13" borderId="0" xfId="15" applyFont="1" applyFill="1" applyBorder="1"/>
    <xf numFmtId="44" fontId="0" fillId="13" borderId="33" xfId="15" applyFont="1" applyFill="1" applyBorder="1" applyAlignment="1">
      <alignment horizontal="center"/>
    </xf>
    <xf numFmtId="168" fontId="27" fillId="13" borderId="33" xfId="15" applyNumberFormat="1" applyFont="1" applyFill="1" applyBorder="1" applyAlignment="1">
      <alignment horizontal="center" vertical="center"/>
    </xf>
    <xf numFmtId="168" fontId="0" fillId="13" borderId="33" xfId="15" applyNumberFormat="1" applyFont="1" applyFill="1" applyBorder="1" applyAlignment="1">
      <alignment horizontal="center" vertical="center"/>
    </xf>
    <xf numFmtId="0" fontId="2" fillId="13" borderId="0" xfId="14" applyFill="1" applyAlignment="1">
      <alignment horizontal="right"/>
    </xf>
    <xf numFmtId="0" fontId="2" fillId="13" borderId="0" xfId="14" applyFill="1"/>
    <xf numFmtId="0" fontId="2" fillId="0" borderId="0" xfId="14" applyAlignment="1">
      <alignment vertical="center"/>
    </xf>
    <xf numFmtId="0" fontId="2" fillId="13" borderId="0" xfId="14" applyFill="1" applyBorder="1" applyAlignment="1">
      <alignment vertical="center"/>
    </xf>
    <xf numFmtId="44" fontId="0" fillId="13" borderId="0" xfId="15" applyFont="1" applyFill="1" applyAlignment="1">
      <alignment horizontal="right" vertical="center"/>
    </xf>
    <xf numFmtId="44" fontId="0" fillId="13" borderId="0" xfId="15" applyFont="1" applyFill="1" applyBorder="1" applyAlignment="1">
      <alignment horizontal="right" vertical="center"/>
    </xf>
    <xf numFmtId="44" fontId="0" fillId="13" borderId="34" xfId="15" applyFont="1" applyFill="1" applyBorder="1" applyAlignment="1">
      <alignment horizontal="center"/>
    </xf>
    <xf numFmtId="0" fontId="2" fillId="13" borderId="0" xfId="14" applyFill="1" applyAlignment="1">
      <alignment horizontal="right" vertical="center"/>
    </xf>
    <xf numFmtId="0" fontId="2" fillId="13" borderId="0" xfId="14" applyFill="1" applyAlignment="1">
      <alignment vertical="center"/>
    </xf>
    <xf numFmtId="44" fontId="2" fillId="13" borderId="0" xfId="14" applyNumberFormat="1" applyFill="1" applyAlignment="1">
      <alignment vertical="center"/>
    </xf>
    <xf numFmtId="0" fontId="32" fillId="13" borderId="0" xfId="14" applyFont="1" applyFill="1" applyBorder="1" applyAlignment="1">
      <alignment horizontal="center" wrapText="1"/>
    </xf>
    <xf numFmtId="0" fontId="33" fillId="13" borderId="0" xfId="14" applyFont="1" applyFill="1" applyBorder="1" applyAlignment="1">
      <alignment horizontal="center" wrapText="1"/>
    </xf>
    <xf numFmtId="0" fontId="14" fillId="13" borderId="0" xfId="14" applyFont="1" applyFill="1" applyBorder="1" applyAlignment="1">
      <alignment horizontal="center" wrapText="1"/>
    </xf>
    <xf numFmtId="0" fontId="32" fillId="13" borderId="0" xfId="14" applyFont="1" applyFill="1" applyBorder="1" applyAlignment="1">
      <alignment horizontal="center" vertical="center"/>
    </xf>
    <xf numFmtId="168" fontId="34" fillId="13" borderId="0" xfId="15" applyNumberFormat="1" applyFont="1" applyFill="1" applyBorder="1" applyAlignment="1">
      <alignment horizontal="center" vertical="center" wrapText="1"/>
    </xf>
    <xf numFmtId="168" fontId="32" fillId="13" borderId="0" xfId="15" applyNumberFormat="1" applyFont="1" applyFill="1" applyBorder="1" applyAlignment="1">
      <alignment vertical="center"/>
    </xf>
    <xf numFmtId="0" fontId="35" fillId="13" borderId="0" xfId="14" applyFont="1" applyFill="1" applyBorder="1" applyAlignment="1">
      <alignment horizontal="right"/>
    </xf>
    <xf numFmtId="44" fontId="2" fillId="13" borderId="0" xfId="14" applyNumberFormat="1" applyFill="1" applyBorder="1"/>
    <xf numFmtId="168" fontId="0" fillId="13" borderId="0" xfId="15" applyNumberFormat="1" applyFont="1" applyFill="1" applyBorder="1"/>
    <xf numFmtId="168" fontId="27" fillId="13" borderId="0" xfId="15" applyNumberFormat="1" applyFont="1" applyFill="1"/>
    <xf numFmtId="0" fontId="2" fillId="0" borderId="0" xfId="14" applyBorder="1"/>
    <xf numFmtId="0" fontId="14" fillId="13" borderId="0" xfId="14" applyFont="1" applyFill="1"/>
    <xf numFmtId="44" fontId="14" fillId="13" borderId="0" xfId="15" applyFont="1" applyFill="1"/>
    <xf numFmtId="44" fontId="14" fillId="13" borderId="0" xfId="14" applyNumberFormat="1" applyFont="1" applyFill="1"/>
    <xf numFmtId="0" fontId="14" fillId="13" borderId="0" xfId="14" applyFont="1" applyFill="1" applyAlignment="1">
      <alignment horizontal="right"/>
    </xf>
    <xf numFmtId="0" fontId="14" fillId="13" borderId="0" xfId="14" applyFont="1" applyFill="1" applyBorder="1"/>
    <xf numFmtId="168" fontId="2" fillId="13" borderId="0" xfId="14" applyNumberFormat="1" applyFill="1"/>
    <xf numFmtId="0" fontId="2" fillId="13" borderId="0" xfId="14" applyFill="1" applyBorder="1" applyAlignment="1">
      <alignment horizontal="center"/>
    </xf>
    <xf numFmtId="44" fontId="36" fillId="13" borderId="32" xfId="14" applyNumberFormat="1" applyFont="1" applyFill="1" applyBorder="1" applyAlignment="1">
      <alignment horizontal="center"/>
    </xf>
    <xf numFmtId="0" fontId="36" fillId="13" borderId="32" xfId="14" applyFont="1" applyFill="1" applyBorder="1" applyAlignment="1">
      <alignment horizontal="right"/>
    </xf>
    <xf numFmtId="0" fontId="2" fillId="13" borderId="32" xfId="14" applyFill="1" applyBorder="1"/>
    <xf numFmtId="0" fontId="2" fillId="0" borderId="34" xfId="14" applyBorder="1"/>
    <xf numFmtId="0" fontId="2" fillId="0" borderId="33" xfId="14" applyBorder="1"/>
    <xf numFmtId="44" fontId="0" fillId="13" borderId="33" xfId="15" applyFont="1" applyFill="1" applyBorder="1" applyAlignment="1">
      <alignment horizontal="center" vertical="center"/>
    </xf>
    <xf numFmtId="0" fontId="2" fillId="13" borderId="0" xfId="14" applyFill="1" applyAlignment="1">
      <alignment horizontal="center"/>
    </xf>
    <xf numFmtId="0" fontId="36" fillId="13" borderId="0" xfId="14" applyFont="1" applyFill="1" applyBorder="1" applyAlignment="1">
      <alignment horizontal="center"/>
    </xf>
    <xf numFmtId="0" fontId="36" fillId="13" borderId="0" xfId="14" applyFont="1" applyFill="1" applyBorder="1" applyAlignment="1">
      <alignment horizontal="right"/>
    </xf>
    <xf numFmtId="0" fontId="2" fillId="13" borderId="33" xfId="14" applyFill="1" applyBorder="1"/>
    <xf numFmtId="0" fontId="2" fillId="13" borderId="34" xfId="14" applyFill="1" applyBorder="1"/>
    <xf numFmtId="168" fontId="27" fillId="13" borderId="33" xfId="15" applyNumberFormat="1" applyFont="1" applyFill="1" applyBorder="1" applyAlignment="1">
      <alignment vertical="center"/>
    </xf>
    <xf numFmtId="0" fontId="2" fillId="13" borderId="0" xfId="14" applyFill="1" applyBorder="1" applyAlignment="1">
      <alignment horizontal="center" vertical="center"/>
    </xf>
    <xf numFmtId="44" fontId="36" fillId="13" borderId="0" xfId="14" applyNumberFormat="1" applyFont="1" applyFill="1" applyBorder="1" applyAlignment="1">
      <alignment horizontal="center" vertical="center"/>
    </xf>
    <xf numFmtId="0" fontId="36" fillId="13" borderId="0" xfId="14" applyFont="1" applyFill="1" applyBorder="1" applyAlignment="1">
      <alignment horizontal="right" vertical="center"/>
    </xf>
    <xf numFmtId="168" fontId="2" fillId="13" borderId="0" xfId="15" applyNumberFormat="1" applyFont="1" applyFill="1" applyAlignment="1">
      <alignment horizontal="right"/>
    </xf>
    <xf numFmtId="168" fontId="2" fillId="13" borderId="33" xfId="15" applyNumberFormat="1" applyFont="1" applyFill="1" applyBorder="1" applyAlignment="1">
      <alignment horizontal="right"/>
    </xf>
    <xf numFmtId="168" fontId="2" fillId="13" borderId="34" xfId="15" applyNumberFormat="1" applyFont="1" applyFill="1" applyBorder="1" applyAlignment="1">
      <alignment horizontal="right"/>
    </xf>
    <xf numFmtId="168" fontId="2" fillId="13" borderId="33" xfId="15" applyNumberFormat="1" applyFont="1" applyFill="1" applyBorder="1" applyAlignment="1">
      <alignment horizontal="right" vertical="center"/>
    </xf>
    <xf numFmtId="0" fontId="36" fillId="13" borderId="0" xfId="14" applyFont="1" applyFill="1" applyBorder="1" applyAlignment="1">
      <alignment horizontal="center" vertical="center"/>
    </xf>
    <xf numFmtId="44" fontId="0" fillId="13" borderId="0" xfId="15" applyFont="1" applyFill="1" applyAlignment="1">
      <alignment horizontal="center"/>
    </xf>
    <xf numFmtId="168" fontId="0" fillId="13" borderId="0" xfId="15" applyNumberFormat="1" applyFont="1" applyFill="1" applyAlignment="1">
      <alignment horizontal="center"/>
    </xf>
    <xf numFmtId="168" fontId="0" fillId="13" borderId="33" xfId="15" applyNumberFormat="1" applyFont="1" applyFill="1" applyBorder="1" applyAlignment="1">
      <alignment horizontal="center"/>
    </xf>
    <xf numFmtId="168" fontId="0" fillId="13" borderId="34" xfId="15" applyNumberFormat="1" applyFont="1" applyFill="1" applyBorder="1" applyAlignment="1">
      <alignment horizontal="center"/>
    </xf>
    <xf numFmtId="44" fontId="2" fillId="13" borderId="0" xfId="14" applyNumberFormat="1" applyFill="1"/>
    <xf numFmtId="44" fontId="33" fillId="13" borderId="0" xfId="14" applyNumberFormat="1" applyFont="1" applyFill="1" applyBorder="1" applyAlignment="1">
      <alignment horizontal="center" wrapText="1"/>
    </xf>
    <xf numFmtId="44" fontId="36" fillId="13" borderId="0" xfId="14" applyNumberFormat="1" applyFont="1" applyFill="1" applyBorder="1" applyAlignment="1">
      <alignment horizontal="center" wrapText="1"/>
    </xf>
    <xf numFmtId="168" fontId="2" fillId="13" borderId="0" xfId="14" applyNumberFormat="1" applyFill="1" applyAlignment="1">
      <alignment vertical="center"/>
    </xf>
    <xf numFmtId="44" fontId="0" fillId="13" borderId="33" xfId="15" applyFont="1" applyFill="1" applyBorder="1"/>
    <xf numFmtId="168" fontId="2" fillId="13" borderId="0" xfId="14" applyNumberFormat="1" applyFill="1" applyAlignment="1">
      <alignment horizontal="center"/>
    </xf>
    <xf numFmtId="44" fontId="0" fillId="13" borderId="33" xfId="15" applyFont="1" applyFill="1" applyBorder="1" applyAlignment="1">
      <alignment horizontal="right" vertical="center"/>
    </xf>
    <xf numFmtId="168" fontId="2" fillId="13" borderId="0" xfId="14" applyNumberFormat="1" applyFill="1" applyAlignment="1">
      <alignment horizontal="center" vertical="center"/>
    </xf>
    <xf numFmtId="168" fontId="0" fillId="13" borderId="0" xfId="15" applyNumberFormat="1" applyFont="1" applyFill="1" applyAlignment="1">
      <alignment horizontal="right" vertical="center"/>
    </xf>
    <xf numFmtId="0" fontId="2" fillId="13" borderId="0" xfId="14" applyFill="1" applyAlignment="1">
      <alignment horizontal="left"/>
    </xf>
    <xf numFmtId="0" fontId="14" fillId="13" borderId="0" xfId="14" applyFont="1" applyFill="1" applyAlignment="1">
      <alignment horizontal="center" vertical="center"/>
    </xf>
    <xf numFmtId="168" fontId="26" fillId="14" borderId="0" xfId="14" applyNumberFormat="1" applyFont="1" applyFill="1" applyBorder="1" applyAlignment="1">
      <alignment vertical="center"/>
    </xf>
    <xf numFmtId="44" fontId="2" fillId="13" borderId="0" xfId="14" applyNumberFormat="1" applyFill="1" applyBorder="1" applyAlignment="1">
      <alignment vertical="center"/>
    </xf>
    <xf numFmtId="44" fontId="2" fillId="16" borderId="0" xfId="14" applyNumberFormat="1" applyFill="1" applyBorder="1" applyAlignment="1">
      <alignment vertical="center"/>
    </xf>
    <xf numFmtId="9" fontId="0" fillId="17" borderId="0" xfId="16" applyFont="1" applyFill="1" applyBorder="1" applyAlignment="1">
      <alignment horizontal="center" vertical="center"/>
    </xf>
    <xf numFmtId="44" fontId="0" fillId="17" borderId="0" xfId="15" applyFont="1" applyFill="1" applyBorder="1" applyAlignment="1">
      <alignment horizontal="center" vertical="center"/>
    </xf>
    <xf numFmtId="168" fontId="26" fillId="15" borderId="0" xfId="15" applyNumberFormat="1" applyFont="1" applyFill="1" applyAlignment="1">
      <alignment vertical="center"/>
    </xf>
    <xf numFmtId="0" fontId="37" fillId="13" borderId="0" xfId="14" applyFont="1" applyFill="1" applyAlignment="1">
      <alignment vertical="center"/>
    </xf>
    <xf numFmtId="44" fontId="2" fillId="16" borderId="35" xfId="14" applyNumberFormat="1" applyFill="1" applyBorder="1" applyAlignment="1">
      <alignment vertical="center"/>
    </xf>
    <xf numFmtId="9" fontId="0" fillId="17" borderId="35" xfId="16" applyFont="1" applyFill="1" applyBorder="1" applyAlignment="1">
      <alignment horizontal="center" vertical="center"/>
    </xf>
    <xf numFmtId="44" fontId="0" fillId="17" borderId="35" xfId="15" applyFont="1" applyFill="1" applyBorder="1" applyAlignment="1">
      <alignment horizontal="center" vertical="center"/>
    </xf>
    <xf numFmtId="0" fontId="35" fillId="13" borderId="0" xfId="14" applyFont="1" applyFill="1" applyAlignment="1">
      <alignment vertical="center"/>
    </xf>
    <xf numFmtId="0" fontId="33" fillId="16" borderId="35" xfId="14" applyFont="1" applyFill="1" applyBorder="1" applyAlignment="1">
      <alignment horizontal="center" wrapText="1"/>
    </xf>
    <xf numFmtId="0" fontId="14" fillId="17" borderId="35" xfId="14" applyFont="1" applyFill="1" applyBorder="1" applyAlignment="1">
      <alignment horizontal="center" wrapText="1"/>
    </xf>
    <xf numFmtId="0" fontId="32" fillId="13" borderId="0" xfId="14" applyFont="1" applyFill="1" applyBorder="1" applyAlignment="1">
      <alignment horizontal="center"/>
    </xf>
    <xf numFmtId="0" fontId="2" fillId="13" borderId="0" xfId="14" applyFill="1" applyBorder="1" applyAlignment="1"/>
    <xf numFmtId="0" fontId="32" fillId="16" borderId="0" xfId="14" applyFont="1" applyFill="1" applyBorder="1" applyAlignment="1">
      <alignment horizontal="center" wrapText="1"/>
    </xf>
    <xf numFmtId="0" fontId="2" fillId="17" borderId="0" xfId="14" applyFill="1" applyBorder="1"/>
    <xf numFmtId="0" fontId="38" fillId="13" borderId="0" xfId="14" applyFont="1" applyFill="1" applyAlignment="1">
      <alignment horizontal="center" vertical="top"/>
    </xf>
    <xf numFmtId="0" fontId="38" fillId="13" borderId="0" xfId="14" applyFont="1" applyFill="1" applyAlignment="1">
      <alignment horizontal="center" vertical="center"/>
    </xf>
    <xf numFmtId="43" fontId="2" fillId="13" borderId="4" xfId="14" applyNumberFormat="1" applyFill="1" applyBorder="1"/>
    <xf numFmtId="44" fontId="0" fillId="0" borderId="0" xfId="4" applyFont="1"/>
    <xf numFmtId="44" fontId="0" fillId="0" borderId="0" xfId="0" applyNumberFormat="1"/>
    <xf numFmtId="0" fontId="11" fillId="22" borderId="37" xfId="0" applyFont="1" applyFill="1" applyBorder="1"/>
    <xf numFmtId="0" fontId="11" fillId="22" borderId="38" xfId="0" applyFont="1" applyFill="1" applyBorder="1"/>
    <xf numFmtId="9" fontId="11" fillId="22" borderId="38" xfId="2" applyFont="1" applyFill="1" applyBorder="1"/>
    <xf numFmtId="9" fontId="11" fillId="22" borderId="6" xfId="2" applyFont="1" applyFill="1" applyBorder="1"/>
    <xf numFmtId="0" fontId="0" fillId="0" borderId="32" xfId="0" applyBorder="1"/>
    <xf numFmtId="0" fontId="25" fillId="0" borderId="0" xfId="0" applyFont="1"/>
    <xf numFmtId="0" fontId="42" fillId="0" borderId="0" xfId="0" applyFont="1" applyAlignment="1">
      <alignment horizontal="center" vertical="center"/>
    </xf>
    <xf numFmtId="0" fontId="44" fillId="0" borderId="0" xfId="14" applyFont="1" applyAlignment="1">
      <alignment vertical="top"/>
    </xf>
    <xf numFmtId="43" fontId="44" fillId="0" borderId="0" xfId="14" applyNumberFormat="1" applyFont="1" applyAlignment="1">
      <alignment vertical="center"/>
    </xf>
    <xf numFmtId="0" fontId="46" fillId="0" borderId="0" xfId="0" applyFont="1" applyFill="1" applyAlignment="1">
      <alignment horizontal="center"/>
    </xf>
    <xf numFmtId="0" fontId="47" fillId="0" borderId="0" xfId="14" applyFont="1" applyAlignment="1">
      <alignment vertical="top"/>
    </xf>
    <xf numFmtId="0" fontId="46" fillId="0" borderId="0" xfId="14" applyFont="1" applyAlignment="1">
      <alignment vertical="top"/>
    </xf>
    <xf numFmtId="0" fontId="44" fillId="0" borderId="0" xfId="14" applyFont="1" applyAlignment="1">
      <alignment vertical="center"/>
    </xf>
    <xf numFmtId="0" fontId="46" fillId="5" borderId="0" xfId="0" applyFont="1" applyFill="1" applyAlignment="1">
      <alignment horizontal="center"/>
    </xf>
    <xf numFmtId="0" fontId="43" fillId="0" borderId="0" xfId="14" applyFont="1" applyAlignment="1">
      <alignment vertical="top" wrapText="1"/>
    </xf>
    <xf numFmtId="0" fontId="49" fillId="0" borderId="0" xfId="14" applyFont="1" applyAlignment="1">
      <alignment vertical="top" wrapText="1"/>
    </xf>
    <xf numFmtId="0" fontId="44" fillId="0" borderId="0" xfId="14" applyFont="1" applyAlignment="1">
      <alignment horizontal="center" vertical="center"/>
    </xf>
    <xf numFmtId="169" fontId="44" fillId="0" borderId="0" xfId="1" applyNumberFormat="1" applyFont="1" applyAlignment="1">
      <alignment horizontal="center" vertical="center"/>
    </xf>
    <xf numFmtId="43" fontId="47" fillId="0" borderId="0" xfId="1" applyFont="1" applyAlignment="1">
      <alignment vertical="top"/>
    </xf>
    <xf numFmtId="0" fontId="50" fillId="0" borderId="0" xfId="14" applyFont="1" applyFill="1" applyAlignment="1">
      <alignment vertical="top" wrapText="1"/>
    </xf>
    <xf numFmtId="43" fontId="18" fillId="23" borderId="24" xfId="11" applyFont="1" applyFill="1" applyBorder="1" applyAlignment="1">
      <alignment horizontal="center" vertical="top"/>
    </xf>
    <xf numFmtId="169" fontId="18" fillId="23" borderId="24" xfId="1" applyNumberFormat="1" applyFont="1" applyFill="1" applyBorder="1" applyAlignment="1">
      <alignment horizontal="center" vertical="top"/>
    </xf>
    <xf numFmtId="0" fontId="17" fillId="0" borderId="0" xfId="14" applyFont="1" applyFill="1" applyAlignment="1">
      <alignment vertical="top"/>
    </xf>
    <xf numFmtId="0" fontId="17" fillId="0" borderId="0" xfId="14" applyFont="1" applyAlignment="1">
      <alignment vertical="top"/>
    </xf>
    <xf numFmtId="43" fontId="18" fillId="23" borderId="24" xfId="1" applyFont="1" applyFill="1" applyBorder="1" applyAlignment="1">
      <alignment horizontal="center" vertical="top"/>
    </xf>
    <xf numFmtId="0" fontId="50" fillId="0" borderId="0" xfId="14" applyFont="1" applyAlignment="1">
      <alignment vertical="top" wrapText="1"/>
    </xf>
    <xf numFmtId="43" fontId="18" fillId="24" borderId="39" xfId="11" applyFont="1" applyFill="1" applyBorder="1" applyAlignment="1">
      <alignment vertical="top" wrapText="1"/>
    </xf>
    <xf numFmtId="41" fontId="18" fillId="24" borderId="39" xfId="11" applyNumberFormat="1" applyFont="1" applyFill="1" applyBorder="1" applyAlignment="1">
      <alignment horizontal="center" vertical="top"/>
    </xf>
    <xf numFmtId="43" fontId="18" fillId="0" borderId="0" xfId="1" applyFont="1" applyAlignment="1">
      <alignment horizontal="center" vertical="top"/>
    </xf>
    <xf numFmtId="43" fontId="17" fillId="24" borderId="27" xfId="11" applyFont="1" applyFill="1" applyBorder="1" applyAlignment="1">
      <alignment horizontal="left" vertical="top" wrapText="1" indent="1"/>
    </xf>
    <xf numFmtId="41" fontId="17" fillId="24" borderId="27" xfId="14" applyNumberFormat="1" applyFont="1" applyFill="1" applyBorder="1" applyAlignment="1">
      <alignment horizontal="center" vertical="top"/>
    </xf>
    <xf numFmtId="41" fontId="17" fillId="0" borderId="0" xfId="14" applyNumberFormat="1" applyFont="1" applyFill="1" applyAlignment="1">
      <alignment vertical="top"/>
    </xf>
    <xf numFmtId="43" fontId="18" fillId="24" borderId="40" xfId="11" applyFont="1" applyFill="1" applyBorder="1" applyAlignment="1">
      <alignment vertical="top" wrapText="1"/>
    </xf>
    <xf numFmtId="41" fontId="18" fillId="24" borderId="40" xfId="11" applyNumberFormat="1" applyFont="1" applyFill="1" applyBorder="1" applyAlignment="1">
      <alignment vertical="top"/>
    </xf>
    <xf numFmtId="41" fontId="17" fillId="24" borderId="27" xfId="11" applyNumberFormat="1" applyFont="1" applyFill="1" applyBorder="1" applyAlignment="1">
      <alignment vertical="top"/>
    </xf>
    <xf numFmtId="43" fontId="18" fillId="24" borderId="41" xfId="11" applyFont="1" applyFill="1" applyBorder="1" applyAlignment="1">
      <alignment vertical="top" wrapText="1"/>
    </xf>
    <xf numFmtId="41" fontId="18" fillId="24" borderId="41" xfId="14" applyNumberFormat="1" applyFont="1" applyFill="1" applyBorder="1" applyAlignment="1">
      <alignment horizontal="center" vertical="top"/>
    </xf>
    <xf numFmtId="43" fontId="18" fillId="0" borderId="27" xfId="11" applyFont="1" applyFill="1" applyBorder="1" applyAlignment="1">
      <alignment vertical="top" wrapText="1"/>
    </xf>
    <xf numFmtId="41" fontId="17" fillId="0" borderId="0" xfId="14" applyNumberFormat="1" applyFont="1" applyFill="1" applyBorder="1" applyAlignment="1">
      <alignment horizontal="center" vertical="top"/>
    </xf>
    <xf numFmtId="43" fontId="17" fillId="24" borderId="24" xfId="11" applyFont="1" applyFill="1" applyBorder="1" applyAlignment="1">
      <alignment horizontal="left" vertical="top" wrapText="1" indent="1"/>
    </xf>
    <xf numFmtId="41" fontId="17" fillId="24" borderId="24" xfId="11" applyNumberFormat="1" applyFont="1" applyFill="1" applyBorder="1" applyAlignment="1">
      <alignment horizontal="center" vertical="top"/>
    </xf>
    <xf numFmtId="43" fontId="18" fillId="24" borderId="31" xfId="11" applyFont="1" applyFill="1" applyBorder="1" applyAlignment="1">
      <alignment vertical="top" wrapText="1"/>
    </xf>
    <xf numFmtId="41" fontId="18" fillId="24" borderId="31" xfId="14" applyNumberFormat="1" applyFont="1" applyFill="1" applyBorder="1" applyAlignment="1">
      <alignment horizontal="center" vertical="top"/>
    </xf>
    <xf numFmtId="0" fontId="0" fillId="0" borderId="0" xfId="0" applyFill="1" applyBorder="1"/>
    <xf numFmtId="165" fontId="13" fillId="0" borderId="0" xfId="0" applyNumberFormat="1" applyFont="1" applyFill="1" applyBorder="1" applyAlignment="1">
      <alignment horizontal="right" wrapText="1"/>
    </xf>
    <xf numFmtId="41" fontId="52" fillId="24" borderId="39" xfId="11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0" fillId="0" borderId="0" xfId="0" applyBorder="1"/>
    <xf numFmtId="164" fontId="6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19" borderId="0" xfId="0" applyFont="1" applyFill="1" applyBorder="1" applyAlignment="1">
      <alignment horizontal="left" wrapText="1"/>
    </xf>
    <xf numFmtId="165" fontId="13" fillId="19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164" fontId="12" fillId="0" borderId="0" xfId="0" applyNumberFormat="1" applyFont="1" applyBorder="1" applyAlignment="1">
      <alignment wrapText="1"/>
    </xf>
    <xf numFmtId="0" fontId="13" fillId="19" borderId="0" xfId="0" applyFont="1" applyFill="1" applyBorder="1" applyAlignment="1">
      <alignment horizontal="left" wrapText="1"/>
    </xf>
    <xf numFmtId="0" fontId="13" fillId="8" borderId="0" xfId="0" applyFont="1" applyFill="1" applyBorder="1" applyAlignment="1">
      <alignment horizontal="left" wrapText="1"/>
    </xf>
    <xf numFmtId="165" fontId="13" fillId="8" borderId="0" xfId="0" applyNumberFormat="1" applyFont="1" applyFill="1" applyBorder="1" applyAlignment="1">
      <alignment horizontal="right" wrapText="1"/>
    </xf>
    <xf numFmtId="0" fontId="5" fillId="8" borderId="0" xfId="0" applyFont="1" applyFill="1" applyBorder="1" applyAlignment="1">
      <alignment horizontal="left" wrapText="1"/>
    </xf>
    <xf numFmtId="165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/>
    </xf>
    <xf numFmtId="0" fontId="13" fillId="19" borderId="0" xfId="0" applyFont="1" applyFill="1" applyBorder="1" applyAlignment="1">
      <alignment horizontal="left"/>
    </xf>
    <xf numFmtId="44" fontId="13" fillId="0" borderId="0" xfId="0" applyNumberFormat="1" applyFont="1" applyBorder="1" applyAlignment="1">
      <alignment horizontal="left" wrapText="1"/>
    </xf>
    <xf numFmtId="44" fontId="5" fillId="0" borderId="0" xfId="0" applyNumberFormat="1" applyFont="1" applyBorder="1" applyAlignment="1">
      <alignment horizontal="left" wrapText="1"/>
    </xf>
    <xf numFmtId="0" fontId="39" fillId="3" borderId="0" xfId="0" applyFont="1" applyFill="1" applyBorder="1" applyAlignment="1">
      <alignment horizontal="left" wrapText="1"/>
    </xf>
    <xf numFmtId="165" fontId="40" fillId="3" borderId="0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horizontal="left" wrapText="1"/>
    </xf>
    <xf numFmtId="168" fontId="6" fillId="0" borderId="0" xfId="4" applyNumberFormat="1" applyFont="1" applyBorder="1"/>
    <xf numFmtId="168" fontId="6" fillId="0" borderId="0" xfId="0" applyNumberFormat="1" applyFont="1" applyBorder="1"/>
    <xf numFmtId="168" fontId="5" fillId="19" borderId="0" xfId="0" applyNumberFormat="1" applyFont="1" applyFill="1" applyBorder="1" applyAlignment="1">
      <alignment horizontal="right" wrapText="1"/>
    </xf>
    <xf numFmtId="168" fontId="5" fillId="8" borderId="0" xfId="0" applyNumberFormat="1" applyFont="1" applyFill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0" fontId="0" fillId="13" borderId="0" xfId="0" applyFill="1"/>
    <xf numFmtId="0" fontId="0" fillId="8" borderId="0" xfId="0" applyFill="1"/>
    <xf numFmtId="0" fontId="55" fillId="23" borderId="25" xfId="0" applyFont="1" applyFill="1" applyBorder="1" applyAlignment="1">
      <alignment horizontal="left"/>
    </xf>
    <xf numFmtId="0" fontId="18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18" fillId="23" borderId="26" xfId="0" applyFont="1" applyFill="1" applyBorder="1" applyAlignment="1">
      <alignment horizontal="center"/>
    </xf>
    <xf numFmtId="0" fontId="18" fillId="13" borderId="42" xfId="0" applyFont="1" applyFill="1" applyBorder="1" applyAlignment="1">
      <alignment horizontal="left"/>
    </xf>
    <xf numFmtId="0" fontId="18" fillId="13" borderId="43" xfId="0" applyFont="1" applyFill="1" applyBorder="1" applyAlignment="1">
      <alignment horizontal="left"/>
    </xf>
    <xf numFmtId="0" fontId="18" fillId="13" borderId="43" xfId="0" applyFont="1" applyFill="1" applyBorder="1" applyAlignment="1">
      <alignment horizontal="center"/>
    </xf>
    <xf numFmtId="0" fontId="18" fillId="13" borderId="44" xfId="0" applyFont="1" applyFill="1" applyBorder="1" applyAlignment="1">
      <alignment horizontal="center"/>
    </xf>
    <xf numFmtId="0" fontId="17" fillId="13" borderId="25" xfId="0" applyFont="1" applyFill="1" applyBorder="1" applyAlignment="1">
      <alignment horizontal="left" indent="15"/>
    </xf>
    <xf numFmtId="0" fontId="17" fillId="13" borderId="0" xfId="0" applyFont="1" applyFill="1" applyAlignment="1">
      <alignment horizontal="left" indent="15"/>
    </xf>
    <xf numFmtId="44" fontId="17" fillId="13" borderId="1" xfId="4" applyFont="1" applyFill="1" applyBorder="1"/>
    <xf numFmtId="44" fontId="17" fillId="13" borderId="45" xfId="4" applyFont="1" applyFill="1" applyBorder="1"/>
    <xf numFmtId="0" fontId="18" fillId="23" borderId="46" xfId="0" applyFont="1" applyFill="1" applyBorder="1"/>
    <xf numFmtId="0" fontId="17" fillId="23" borderId="38" xfId="0" applyFont="1" applyFill="1" applyBorder="1"/>
    <xf numFmtId="43" fontId="17" fillId="23" borderId="38" xfId="1" applyFont="1" applyFill="1" applyBorder="1"/>
    <xf numFmtId="43" fontId="17" fillId="23" borderId="47" xfId="1" applyFont="1" applyFill="1" applyBorder="1"/>
    <xf numFmtId="0" fontId="17" fillId="13" borderId="0" xfId="0" applyFont="1" applyFill="1" applyAlignment="1">
      <alignment horizontal="left" indent="5"/>
    </xf>
    <xf numFmtId="44" fontId="17" fillId="13" borderId="0" xfId="4" applyFont="1" applyFill="1"/>
    <xf numFmtId="44" fontId="17" fillId="13" borderId="26" xfId="4" applyFont="1" applyFill="1" applyBorder="1"/>
    <xf numFmtId="44" fontId="17" fillId="13" borderId="2" xfId="4" applyFont="1" applyFill="1" applyBorder="1"/>
    <xf numFmtId="44" fontId="17" fillId="13" borderId="48" xfId="4" applyFont="1" applyFill="1" applyBorder="1"/>
    <xf numFmtId="44" fontId="17" fillId="25" borderId="2" xfId="4" applyFont="1" applyFill="1" applyBorder="1"/>
    <xf numFmtId="44" fontId="17" fillId="25" borderId="48" xfId="4" applyFont="1" applyFill="1" applyBorder="1"/>
    <xf numFmtId="0" fontId="17" fillId="13" borderId="1" xfId="4" applyNumberFormat="1" applyFont="1" applyFill="1" applyBorder="1"/>
    <xf numFmtId="0" fontId="17" fillId="13" borderId="45" xfId="4" applyNumberFormat="1" applyFont="1" applyFill="1" applyBorder="1"/>
    <xf numFmtId="44" fontId="17" fillId="25" borderId="49" xfId="4" applyFont="1" applyFill="1" applyBorder="1"/>
    <xf numFmtId="44" fontId="17" fillId="25" borderId="50" xfId="4" applyFont="1" applyFill="1" applyBorder="1"/>
    <xf numFmtId="44" fontId="17" fillId="25" borderId="52" xfId="4" applyFont="1" applyFill="1" applyBorder="1"/>
    <xf numFmtId="44" fontId="17" fillId="25" borderId="53" xfId="4" applyFont="1" applyFill="1" applyBorder="1"/>
    <xf numFmtId="44" fontId="18" fillId="26" borderId="54" xfId="4" applyFont="1" applyFill="1" applyBorder="1"/>
    <xf numFmtId="44" fontId="18" fillId="26" borderId="32" xfId="4" applyFont="1" applyFill="1" applyBorder="1"/>
    <xf numFmtId="44" fontId="18" fillId="26" borderId="55" xfId="4" applyFont="1" applyFill="1" applyBorder="1"/>
    <xf numFmtId="0" fontId="0" fillId="13" borderId="25" xfId="0" applyFill="1" applyBorder="1"/>
    <xf numFmtId="0" fontId="0" fillId="13" borderId="26" xfId="0" applyFill="1" applyBorder="1"/>
    <xf numFmtId="0" fontId="0" fillId="13" borderId="28" xfId="0" applyFill="1" applyBorder="1"/>
    <xf numFmtId="0" fontId="0" fillId="13" borderId="29" xfId="0" applyFill="1" applyBorder="1"/>
    <xf numFmtId="0" fontId="0" fillId="13" borderId="30" xfId="0" applyFill="1" applyBorder="1"/>
    <xf numFmtId="44" fontId="17" fillId="27" borderId="2" xfId="4" applyFont="1" applyFill="1" applyBorder="1"/>
    <xf numFmtId="44" fontId="17" fillId="3" borderId="48" xfId="4" applyFont="1" applyFill="1" applyBorder="1"/>
    <xf numFmtId="44" fontId="17" fillId="3" borderId="50" xfId="4" applyFont="1" applyFill="1" applyBorder="1"/>
    <xf numFmtId="44" fontId="17" fillId="3" borderId="53" xfId="4" applyFont="1" applyFill="1" applyBorder="1"/>
    <xf numFmtId="44" fontId="17" fillId="27" borderId="52" xfId="4" applyFont="1" applyFill="1" applyBorder="1"/>
    <xf numFmtId="0" fontId="59" fillId="0" borderId="0" xfId="0" applyFont="1" applyAlignment="1">
      <alignment horizontal="center"/>
    </xf>
    <xf numFmtId="0" fontId="0" fillId="28" borderId="0" xfId="0" applyFill="1"/>
    <xf numFmtId="44" fontId="0" fillId="28" borderId="0" xfId="4" applyFont="1" applyFill="1"/>
    <xf numFmtId="44" fontId="0" fillId="0" borderId="32" xfId="4" applyFont="1" applyBorder="1"/>
    <xf numFmtId="44" fontId="59" fillId="0" borderId="0" xfId="4" applyFont="1"/>
    <xf numFmtId="0" fontId="0" fillId="0" borderId="0" xfId="0" applyFont="1"/>
    <xf numFmtId="0" fontId="0" fillId="0" borderId="2" xfId="0" applyFont="1" applyBorder="1"/>
    <xf numFmtId="0" fontId="0" fillId="19" borderId="2" xfId="0" applyFont="1" applyFill="1" applyBorder="1"/>
    <xf numFmtId="0" fontId="0" fillId="0" borderId="0" xfId="0" applyFont="1" applyFill="1"/>
    <xf numFmtId="0" fontId="0" fillId="0" borderId="2" xfId="0" applyFont="1" applyFill="1" applyBorder="1"/>
    <xf numFmtId="0" fontId="0" fillId="13" borderId="2" xfId="0" applyFont="1" applyFill="1" applyBorder="1"/>
    <xf numFmtId="0" fontId="0" fillId="13" borderId="0" xfId="0" applyFont="1" applyFill="1"/>
    <xf numFmtId="41" fontId="26" fillId="3" borderId="2" xfId="0" applyNumberFormat="1" applyFont="1" applyFill="1" applyBorder="1" applyAlignment="1" applyProtection="1">
      <alignment horizontal="center" vertical="center"/>
      <protection locked="0"/>
    </xf>
    <xf numFmtId="0" fontId="60" fillId="3" borderId="0" xfId="0" applyFont="1" applyFill="1" applyAlignment="1">
      <alignment vertical="center" wrapText="1"/>
    </xf>
    <xf numFmtId="41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41" fontId="2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26" fillId="3" borderId="2" xfId="0" applyFont="1" applyFill="1" applyBorder="1" applyAlignment="1" applyProtection="1">
      <alignment horizontal="right" vertical="center" wrapText="1"/>
      <protection locked="0"/>
    </xf>
    <xf numFmtId="0" fontId="26" fillId="3" borderId="2" xfId="0" applyFont="1" applyFill="1" applyBorder="1" applyAlignment="1" applyProtection="1">
      <alignment horizontal="center" vertical="center" wrapText="1"/>
      <protection locked="0"/>
    </xf>
    <xf numFmtId="9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43" fontId="26" fillId="3" borderId="2" xfId="1" applyFont="1" applyFill="1" applyBorder="1" applyAlignment="1" applyProtection="1">
      <alignment vertical="center" wrapText="1"/>
      <protection locked="0"/>
    </xf>
    <xf numFmtId="0" fontId="26" fillId="4" borderId="2" xfId="0" applyFont="1" applyFill="1" applyBorder="1" applyAlignment="1" applyProtection="1">
      <alignment horizontal="center" vertical="center" wrapText="1"/>
      <protection locked="0"/>
    </xf>
    <xf numFmtId="41" fontId="26" fillId="4" borderId="2" xfId="0" applyNumberFormat="1" applyFont="1" applyFill="1" applyBorder="1" applyProtection="1"/>
    <xf numFmtId="0" fontId="1" fillId="4" borderId="0" xfId="0" applyFont="1" applyFill="1" applyAlignment="1">
      <alignment vertical="center" wrapText="1"/>
    </xf>
    <xf numFmtId="0" fontId="26" fillId="4" borderId="36" xfId="0" applyFont="1" applyFill="1" applyBorder="1" applyAlignment="1" applyProtection="1">
      <alignment horizontal="center" vertical="center" wrapText="1"/>
      <protection locked="0"/>
    </xf>
    <xf numFmtId="41" fontId="26" fillId="4" borderId="36" xfId="0" applyNumberFormat="1" applyFont="1" applyFill="1" applyBorder="1" applyProtection="1"/>
    <xf numFmtId="0" fontId="26" fillId="4" borderId="0" xfId="0" applyFont="1" applyFill="1" applyAlignment="1">
      <alignment horizontal="center" vertical="center" wrapText="1"/>
    </xf>
    <xf numFmtId="0" fontId="25" fillId="0" borderId="2" xfId="0" applyFont="1" applyBorder="1" applyAlignment="1">
      <alignment horizontal="left" wrapText="1"/>
    </xf>
    <xf numFmtId="41" fontId="26" fillId="0" borderId="2" xfId="0" applyNumberFormat="1" applyFont="1" applyFill="1" applyBorder="1" applyProtection="1"/>
    <xf numFmtId="0" fontId="1" fillId="0" borderId="2" xfId="0" applyFont="1" applyFill="1" applyBorder="1" applyAlignment="1">
      <alignment vertical="center" wrapText="1"/>
    </xf>
    <xf numFmtId="164" fontId="0" fillId="0" borderId="2" xfId="0" applyNumberFormat="1" applyFont="1" applyBorder="1" applyAlignment="1">
      <alignment wrapText="1"/>
    </xf>
    <xf numFmtId="0" fontId="25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25" fillId="19" borderId="2" xfId="0" applyFont="1" applyFill="1" applyBorder="1" applyAlignment="1">
      <alignment horizontal="left" wrapText="1"/>
    </xf>
    <xf numFmtId="165" fontId="25" fillId="19" borderId="2" xfId="0" applyNumberFormat="1" applyFont="1" applyFill="1" applyBorder="1" applyAlignment="1">
      <alignment horizontal="right" wrapText="1"/>
    </xf>
    <xf numFmtId="164" fontId="0" fillId="0" borderId="2" xfId="0" applyNumberFormat="1" applyFont="1" applyFill="1" applyBorder="1" applyAlignment="1">
      <alignment wrapText="1"/>
    </xf>
    <xf numFmtId="0" fontId="25" fillId="0" borderId="0" xfId="0" applyFont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0" fontId="25" fillId="8" borderId="2" xfId="0" applyFont="1" applyFill="1" applyBorder="1" applyAlignment="1">
      <alignment horizontal="left" wrapText="1"/>
    </xf>
    <xf numFmtId="165" fontId="25" fillId="8" borderId="2" xfId="0" applyNumberFormat="1" applyFont="1" applyFill="1" applyBorder="1" applyAlignment="1">
      <alignment horizontal="right" wrapText="1"/>
    </xf>
    <xf numFmtId="0" fontId="0" fillId="8" borderId="2" xfId="0" applyFont="1" applyFill="1" applyBorder="1"/>
    <xf numFmtId="165" fontId="25" fillId="0" borderId="2" xfId="0" applyNumberFormat="1" applyFont="1" applyBorder="1" applyAlignment="1">
      <alignment horizontal="right" wrapText="1"/>
    </xf>
    <xf numFmtId="0" fontId="25" fillId="0" borderId="2" xfId="0" applyFont="1" applyBorder="1" applyAlignment="1">
      <alignment horizontal="left"/>
    </xf>
    <xf numFmtId="0" fontId="25" fillId="0" borderId="0" xfId="0" applyFont="1" applyFill="1" applyAlignment="1">
      <alignment horizontal="left" wrapText="1"/>
    </xf>
    <xf numFmtId="0" fontId="25" fillId="19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 wrapText="1"/>
    </xf>
    <xf numFmtId="9" fontId="0" fillId="8" borderId="2" xfId="2" applyFont="1" applyFill="1" applyBorder="1"/>
    <xf numFmtId="0" fontId="0" fillId="0" borderId="2" xfId="0" applyFont="1" applyFill="1" applyBorder="1" applyAlignment="1">
      <alignment wrapText="1"/>
    </xf>
    <xf numFmtId="164" fontId="0" fillId="13" borderId="2" xfId="0" applyNumberFormat="1" applyFont="1" applyFill="1" applyBorder="1" applyAlignment="1">
      <alignment wrapText="1"/>
    </xf>
    <xf numFmtId="0" fontId="0" fillId="13" borderId="2" xfId="0" applyFont="1" applyFill="1" applyBorder="1" applyAlignment="1">
      <alignment wrapText="1"/>
    </xf>
    <xf numFmtId="0" fontId="25" fillId="13" borderId="2" xfId="0" applyFont="1" applyFill="1" applyBorder="1" applyAlignment="1">
      <alignment horizontal="left" wrapText="1"/>
    </xf>
    <xf numFmtId="44" fontId="0" fillId="0" borderId="2" xfId="0" applyNumberFormat="1" applyFont="1" applyBorder="1"/>
    <xf numFmtId="9" fontId="0" fillId="0" borderId="2" xfId="2" applyFont="1" applyBorder="1"/>
    <xf numFmtId="44" fontId="25" fillId="0" borderId="2" xfId="0" applyNumberFormat="1" applyFont="1" applyBorder="1" applyAlignment="1">
      <alignment horizontal="left" wrapText="1"/>
    </xf>
    <xf numFmtId="44" fontId="25" fillId="13" borderId="2" xfId="0" applyNumberFormat="1" applyFont="1" applyFill="1" applyBorder="1" applyAlignment="1">
      <alignment horizontal="left" wrapText="1"/>
    </xf>
    <xf numFmtId="0" fontId="62" fillId="3" borderId="2" xfId="0" applyFont="1" applyFill="1" applyBorder="1" applyAlignment="1">
      <alignment horizontal="left" wrapText="1"/>
    </xf>
    <xf numFmtId="165" fontId="26" fillId="3" borderId="2" xfId="0" applyNumberFormat="1" applyFont="1" applyFill="1" applyBorder="1" applyAlignment="1">
      <alignment horizontal="right" wrapText="1"/>
    </xf>
    <xf numFmtId="0" fontId="60" fillId="3" borderId="2" xfId="0" applyFont="1" applyFill="1" applyBorder="1"/>
    <xf numFmtId="0" fontId="42" fillId="0" borderId="0" xfId="0" applyFont="1"/>
    <xf numFmtId="164" fontId="0" fillId="13" borderId="2" xfId="0" applyNumberFormat="1" applyFont="1" applyFill="1" applyBorder="1" applyAlignment="1">
      <alignment horizontal="right" wrapText="1"/>
    </xf>
    <xf numFmtId="0" fontId="63" fillId="20" borderId="2" xfId="0" applyFont="1" applyFill="1" applyBorder="1" applyAlignment="1">
      <alignment horizontal="right" wrapText="1"/>
    </xf>
    <xf numFmtId="165" fontId="63" fillId="20" borderId="2" xfId="0" applyNumberFormat="1" applyFont="1" applyFill="1" applyBorder="1" applyAlignment="1">
      <alignment horizontal="right" wrapText="1"/>
    </xf>
    <xf numFmtId="0" fontId="46" fillId="20" borderId="2" xfId="0" applyFont="1" applyFill="1" applyBorder="1"/>
    <xf numFmtId="0" fontId="63" fillId="3" borderId="2" xfId="0" applyFont="1" applyFill="1" applyBorder="1" applyAlignment="1">
      <alignment horizontal="right" wrapText="1"/>
    </xf>
    <xf numFmtId="165" fontId="63" fillId="3" borderId="2" xfId="0" applyNumberFormat="1" applyFont="1" applyFill="1" applyBorder="1" applyAlignment="1">
      <alignment horizontal="right" wrapText="1"/>
    </xf>
    <xf numFmtId="0" fontId="46" fillId="3" borderId="2" xfId="0" applyFont="1" applyFill="1" applyBorder="1"/>
    <xf numFmtId="0" fontId="25" fillId="0" borderId="2" xfId="0" applyFont="1" applyBorder="1" applyAlignment="1">
      <alignment horizontal="left" vertical="center" wrapText="1"/>
    </xf>
    <xf numFmtId="41" fontId="26" fillId="3" borderId="0" xfId="0" applyNumberFormat="1" applyFont="1" applyFill="1" applyBorder="1" applyAlignment="1" applyProtection="1">
      <alignment horizontal="center" vertical="center"/>
      <protection locked="0"/>
    </xf>
    <xf numFmtId="41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 applyProtection="1">
      <alignment horizontal="center" vertical="center" wrapText="1"/>
      <protection locked="0"/>
    </xf>
    <xf numFmtId="9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43" fontId="26" fillId="3" borderId="0" xfId="1" applyFont="1" applyFill="1" applyBorder="1" applyAlignment="1" applyProtection="1">
      <alignment vertical="center" wrapText="1"/>
      <protection locked="0"/>
    </xf>
    <xf numFmtId="41" fontId="26" fillId="4" borderId="0" xfId="0" applyNumberFormat="1" applyFont="1" applyFill="1" applyBorder="1" applyProtection="1"/>
    <xf numFmtId="165" fontId="63" fillId="5" borderId="2" xfId="0" applyNumberFormat="1" applyFont="1" applyFill="1" applyBorder="1" applyAlignment="1">
      <alignment horizontal="right" wrapText="1"/>
    </xf>
    <xf numFmtId="1" fontId="63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6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6" fillId="5" borderId="2" xfId="0" applyFont="1" applyFill="1" applyBorder="1"/>
    <xf numFmtId="41" fontId="26" fillId="29" borderId="2" xfId="0" applyNumberFormat="1" applyFont="1" applyFill="1" applyBorder="1" applyProtection="1"/>
    <xf numFmtId="0" fontId="0" fillId="29" borderId="2" xfId="0" applyFont="1" applyFill="1" applyBorder="1"/>
    <xf numFmtId="164" fontId="0" fillId="29" borderId="2" xfId="0" applyNumberFormat="1" applyFont="1" applyFill="1" applyBorder="1" applyAlignment="1">
      <alignment wrapText="1"/>
    </xf>
    <xf numFmtId="165" fontId="25" fillId="29" borderId="2" xfId="0" applyNumberFormat="1" applyFont="1" applyFill="1" applyBorder="1" applyAlignment="1">
      <alignment horizontal="right" wrapText="1"/>
    </xf>
    <xf numFmtId="164" fontId="0" fillId="29" borderId="2" xfId="0" applyNumberFormat="1" applyFont="1" applyFill="1" applyBorder="1" applyAlignment="1">
      <alignment horizontal="right" wrapText="1"/>
    </xf>
    <xf numFmtId="44" fontId="0" fillId="29" borderId="2" xfId="0" applyNumberFormat="1" applyFont="1" applyFill="1" applyBorder="1"/>
    <xf numFmtId="165" fontId="26" fillId="29" borderId="2" xfId="0" applyNumberFormat="1" applyFont="1" applyFill="1" applyBorder="1" applyAlignment="1">
      <alignment horizontal="right" wrapText="1"/>
    </xf>
    <xf numFmtId="165" fontId="63" fillId="29" borderId="2" xfId="0" applyNumberFormat="1" applyFont="1" applyFill="1" applyBorder="1" applyAlignment="1">
      <alignment horizontal="right" wrapText="1"/>
    </xf>
    <xf numFmtId="41" fontId="63" fillId="29" borderId="2" xfId="0" applyNumberFormat="1" applyFont="1" applyFill="1" applyBorder="1" applyAlignment="1" applyProtection="1">
      <alignment horizontal="center" vertical="center" wrapText="1"/>
      <protection locked="0"/>
    </xf>
    <xf numFmtId="1" fontId="63" fillId="29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29" borderId="2" xfId="0" applyFont="1" applyFill="1" applyBorder="1" applyAlignment="1" applyProtection="1">
      <alignment horizontal="center" vertical="center" wrapText="1"/>
      <protection locked="0"/>
    </xf>
    <xf numFmtId="9" fontId="63" fillId="29" borderId="2" xfId="0" applyNumberFormat="1" applyFont="1" applyFill="1" applyBorder="1" applyAlignment="1" applyProtection="1">
      <alignment horizontal="center" vertical="center" wrapText="1"/>
      <protection locked="0"/>
    </xf>
    <xf numFmtId="43" fontId="63" fillId="29" borderId="2" xfId="1" applyFont="1" applyFill="1" applyBorder="1" applyAlignment="1" applyProtection="1">
      <alignment vertical="center" wrapText="1"/>
      <protection locked="0"/>
    </xf>
    <xf numFmtId="41" fontId="63" fillId="29" borderId="2" xfId="0" applyNumberFormat="1" applyFont="1" applyFill="1" applyBorder="1" applyProtection="1"/>
    <xf numFmtId="41" fontId="63" fillId="29" borderId="36" xfId="0" applyNumberFormat="1" applyFont="1" applyFill="1" applyBorder="1" applyProtection="1"/>
    <xf numFmtId="164" fontId="0" fillId="30" borderId="2" xfId="0" applyNumberFormat="1" applyFont="1" applyFill="1" applyBorder="1" applyAlignment="1">
      <alignment wrapText="1"/>
    </xf>
    <xf numFmtId="164" fontId="0" fillId="29" borderId="2" xfId="0" applyNumberFormat="1" applyFont="1" applyFill="1" applyBorder="1"/>
    <xf numFmtId="0" fontId="46" fillId="0" borderId="2" xfId="0" applyFont="1" applyFill="1" applyBorder="1"/>
    <xf numFmtId="0" fontId="46" fillId="0" borderId="0" xfId="0" applyFont="1" applyFill="1"/>
    <xf numFmtId="164" fontId="0" fillId="31" borderId="2" xfId="0" applyNumberFormat="1" applyFont="1" applyFill="1" applyBorder="1" applyAlignment="1">
      <alignment wrapText="1"/>
    </xf>
    <xf numFmtId="1" fontId="63" fillId="31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31" borderId="2" xfId="0" applyNumberFormat="1" applyFont="1" applyFill="1" applyBorder="1"/>
    <xf numFmtId="0" fontId="64" fillId="0" borderId="0" xfId="0" applyFont="1"/>
    <xf numFmtId="0" fontId="65" fillId="0" borderId="0" xfId="0" applyFont="1" applyAlignment="1">
      <alignment wrapText="1"/>
    </xf>
    <xf numFmtId="9" fontId="64" fillId="0" borderId="0" xfId="0" applyNumberFormat="1" applyFont="1"/>
    <xf numFmtId="9" fontId="64" fillId="0" borderId="0" xfId="2" applyFont="1"/>
    <xf numFmtId="41" fontId="67" fillId="2" borderId="2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left"/>
    </xf>
    <xf numFmtId="43" fontId="68" fillId="0" borderId="0" xfId="1" applyFont="1"/>
    <xf numFmtId="169" fontId="68" fillId="0" borderId="0" xfId="1" applyNumberFormat="1" applyFont="1"/>
    <xf numFmtId="169" fontId="68" fillId="5" borderId="0" xfId="1" applyNumberFormat="1" applyFont="1" applyFill="1"/>
    <xf numFmtId="43" fontId="68" fillId="0" borderId="0" xfId="1" applyFont="1" applyFill="1"/>
    <xf numFmtId="169" fontId="68" fillId="0" borderId="0" xfId="1" applyNumberFormat="1" applyFont="1" applyFill="1"/>
    <xf numFmtId="169" fontId="64" fillId="0" borderId="0" xfId="1" applyNumberFormat="1" applyFont="1"/>
    <xf numFmtId="0" fontId="69" fillId="5" borderId="0" xfId="0" applyFont="1" applyFill="1" applyAlignment="1">
      <alignment horizontal="left"/>
    </xf>
    <xf numFmtId="0" fontId="65" fillId="5" borderId="0" xfId="0" applyFont="1" applyFill="1"/>
    <xf numFmtId="43" fontId="65" fillId="5" borderId="0" xfId="1" applyFont="1" applyFill="1"/>
    <xf numFmtId="43" fontId="64" fillId="0" borderId="0" xfId="0" applyNumberFormat="1" applyFont="1"/>
    <xf numFmtId="0" fontId="70" fillId="5" borderId="0" xfId="0" applyFont="1" applyFill="1" applyAlignment="1">
      <alignment horizontal="left"/>
    </xf>
    <xf numFmtId="0" fontId="71" fillId="5" borderId="0" xfId="0" applyFont="1" applyFill="1"/>
    <xf numFmtId="43" fontId="71" fillId="5" borderId="0" xfId="1" applyFont="1" applyFill="1"/>
    <xf numFmtId="43" fontId="71" fillId="0" borderId="0" xfId="1" applyFont="1"/>
    <xf numFmtId="43" fontId="71" fillId="0" borderId="0" xfId="1" applyFont="1" applyFill="1"/>
    <xf numFmtId="0" fontId="70" fillId="0" borderId="0" xfId="0" applyFont="1" applyAlignment="1">
      <alignment horizontal="left"/>
    </xf>
    <xf numFmtId="43" fontId="71" fillId="0" borderId="0" xfId="0" applyNumberFormat="1" applyFont="1"/>
    <xf numFmtId="0" fontId="71" fillId="0" borderId="0" xfId="0" applyFont="1"/>
    <xf numFmtId="0" fontId="66" fillId="0" borderId="0" xfId="0" applyFont="1" applyFill="1" applyAlignment="1">
      <alignment horizontal="left"/>
    </xf>
    <xf numFmtId="0" fontId="64" fillId="0" borderId="0" xfId="0" applyFont="1" applyFill="1"/>
    <xf numFmtId="0" fontId="65" fillId="0" borderId="0" xfId="0" applyFont="1" applyFill="1"/>
    <xf numFmtId="43" fontId="65" fillId="0" borderId="0" xfId="1" applyFont="1" applyFill="1"/>
    <xf numFmtId="169" fontId="65" fillId="0" borderId="0" xfId="1" applyNumberFormat="1" applyFont="1" applyFill="1"/>
    <xf numFmtId="43" fontId="65" fillId="0" borderId="0" xfId="1" applyFont="1"/>
    <xf numFmtId="0" fontId="69" fillId="0" borderId="0" xfId="0" applyFont="1" applyAlignment="1">
      <alignment horizontal="left"/>
    </xf>
    <xf numFmtId="0" fontId="65" fillId="0" borderId="0" xfId="0" applyFont="1"/>
    <xf numFmtId="0" fontId="64" fillId="13" borderId="0" xfId="0" applyFont="1" applyFill="1"/>
    <xf numFmtId="0" fontId="66" fillId="19" borderId="0" xfId="0" applyFont="1" applyFill="1" applyAlignment="1">
      <alignment horizontal="left"/>
    </xf>
    <xf numFmtId="0" fontId="64" fillId="19" borderId="0" xfId="0" applyFont="1" applyFill="1"/>
    <xf numFmtId="43" fontId="68" fillId="19" borderId="0" xfId="1" applyFont="1" applyFill="1"/>
    <xf numFmtId="169" fontId="64" fillId="19" borderId="0" xfId="1" applyNumberFormat="1" applyFont="1" applyFill="1"/>
    <xf numFmtId="169" fontId="68" fillId="19" borderId="0" xfId="1" applyNumberFormat="1" applyFont="1" applyFill="1"/>
    <xf numFmtId="0" fontId="66" fillId="0" borderId="0" xfId="0" applyFont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66" fillId="5" borderId="0" xfId="0" applyFont="1" applyFill="1" applyAlignment="1">
      <alignment horizontal="left"/>
    </xf>
    <xf numFmtId="0" fontId="64" fillId="5" borderId="0" xfId="0" applyFont="1" applyFill="1"/>
    <xf numFmtId="43" fontId="68" fillId="5" borderId="0" xfId="1" applyFont="1" applyFill="1"/>
    <xf numFmtId="169" fontId="64" fillId="5" borderId="0" xfId="1" applyNumberFormat="1" applyFont="1" applyFill="1"/>
    <xf numFmtId="43" fontId="64" fillId="5" borderId="0" xfId="1" applyFont="1" applyFill="1"/>
    <xf numFmtId="0" fontId="69" fillId="0" borderId="0" xfId="0" applyFont="1" applyFill="1" applyAlignment="1">
      <alignment horizontal="left" wrapText="1"/>
    </xf>
    <xf numFmtId="43" fontId="68" fillId="12" borderId="0" xfId="1" applyFont="1" applyFill="1"/>
    <xf numFmtId="43" fontId="68" fillId="0" borderId="0" xfId="1" applyNumberFormat="1" applyFont="1" applyFill="1"/>
    <xf numFmtId="0" fontId="66" fillId="0" borderId="0" xfId="0" applyFont="1" applyAlignment="1">
      <alignment horizontal="left" wrapText="1"/>
    </xf>
    <xf numFmtId="169" fontId="67" fillId="21" borderId="0" xfId="1" applyNumberFormat="1" applyFont="1" applyFill="1"/>
    <xf numFmtId="43" fontId="67" fillId="21" borderId="0" xfId="1" applyNumberFormat="1" applyFont="1" applyFill="1"/>
    <xf numFmtId="0" fontId="66" fillId="10" borderId="0" xfId="0" applyFont="1" applyFill="1" applyAlignment="1">
      <alignment horizontal="left" wrapText="1"/>
    </xf>
    <xf numFmtId="0" fontId="66" fillId="10" borderId="0" xfId="0" applyFont="1" applyFill="1"/>
    <xf numFmtId="43" fontId="66" fillId="10" borderId="0" xfId="0" applyNumberFormat="1" applyFont="1" applyFill="1"/>
    <xf numFmtId="169" fontId="66" fillId="10" borderId="0" xfId="1" applyNumberFormat="1" applyFont="1" applyFill="1"/>
    <xf numFmtId="43" fontId="72" fillId="10" borderId="0" xfId="1" applyFont="1" applyFill="1"/>
    <xf numFmtId="43" fontId="72" fillId="10" borderId="0" xfId="1" applyNumberFormat="1" applyFont="1" applyFill="1"/>
    <xf numFmtId="43" fontId="64" fillId="0" borderId="0" xfId="1" applyFont="1"/>
    <xf numFmtId="169" fontId="64" fillId="0" borderId="0" xfId="0" applyNumberFormat="1" applyFont="1"/>
    <xf numFmtId="0" fontId="64" fillId="0" borderId="0" xfId="0" applyFont="1" applyAlignment="1">
      <alignment horizontal="left"/>
    </xf>
    <xf numFmtId="16" fontId="65" fillId="5" borderId="0" xfId="0" applyNumberFormat="1" applyFont="1" applyFill="1" applyAlignment="1">
      <alignment horizontal="left"/>
    </xf>
    <xf numFmtId="16" fontId="71" fillId="5" borderId="0" xfId="0" applyNumberFormat="1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65" fillId="5" borderId="0" xfId="0" applyFont="1" applyFill="1" applyAlignment="1">
      <alignment horizontal="left"/>
    </xf>
    <xf numFmtId="0" fontId="64" fillId="19" borderId="0" xfId="0" applyFont="1" applyFill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5" fillId="0" borderId="0" xfId="0" applyFont="1" applyFill="1" applyAlignment="1">
      <alignment horizontal="left" wrapText="1"/>
    </xf>
    <xf numFmtId="0" fontId="65" fillId="0" borderId="0" xfId="0" applyFont="1" applyAlignment="1">
      <alignment horizontal="left"/>
    </xf>
    <xf numFmtId="0" fontId="64" fillId="0" borderId="0" xfId="0" applyFont="1" applyAlignment="1">
      <alignment horizontal="left" wrapText="1"/>
    </xf>
    <xf numFmtId="0" fontId="64" fillId="10" borderId="0" xfId="0" applyFont="1" applyFill="1" applyAlignment="1">
      <alignment horizontal="left" wrapText="1"/>
    </xf>
    <xf numFmtId="0" fontId="71" fillId="5" borderId="0" xfId="0" applyFont="1" applyFill="1" applyAlignment="1">
      <alignment horizontal="left"/>
    </xf>
    <xf numFmtId="169" fontId="71" fillId="5" borderId="0" xfId="1" applyNumberFormat="1" applyFont="1" applyFill="1"/>
    <xf numFmtId="169" fontId="65" fillId="5" borderId="0" xfId="1" applyNumberFormat="1" applyFont="1" applyFill="1"/>
    <xf numFmtId="39" fontId="64" fillId="0" borderId="0" xfId="1" applyNumberFormat="1" applyFont="1"/>
    <xf numFmtId="0" fontId="66" fillId="0" borderId="0" xfId="0" applyFont="1" applyAlignment="1">
      <alignment horizontal="center"/>
    </xf>
    <xf numFmtId="9" fontId="66" fillId="0" borderId="0" xfId="0" applyNumberFormat="1" applyFont="1" applyAlignment="1">
      <alignment horizontal="center"/>
    </xf>
    <xf numFmtId="168" fontId="2" fillId="13" borderId="32" xfId="14" applyNumberFormat="1" applyFill="1" applyBorder="1" applyAlignment="1">
      <alignment horizontal="center"/>
    </xf>
    <xf numFmtId="168" fontId="14" fillId="13" borderId="0" xfId="14" applyNumberFormat="1" applyFont="1" applyFill="1"/>
    <xf numFmtId="43" fontId="0" fillId="0" borderId="0" xfId="0" applyNumberFormat="1"/>
    <xf numFmtId="0" fontId="73" fillId="0" borderId="0" xfId="0" applyFont="1"/>
    <xf numFmtId="0" fontId="73" fillId="0" borderId="0" xfId="0" applyFont="1" applyFill="1"/>
    <xf numFmtId="0" fontId="74" fillId="0" borderId="0" xfId="0" applyFont="1"/>
    <xf numFmtId="0" fontId="75" fillId="0" borderId="0" xfId="0" applyFont="1"/>
    <xf numFmtId="0" fontId="7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43" fontId="73" fillId="0" borderId="0" xfId="1" applyFont="1"/>
    <xf numFmtId="9" fontId="73" fillId="0" borderId="0" xfId="2" applyFont="1"/>
    <xf numFmtId="43" fontId="73" fillId="0" borderId="0" xfId="0" applyNumberFormat="1" applyFont="1"/>
    <xf numFmtId="43" fontId="73" fillId="0" borderId="4" xfId="1" applyFont="1" applyBorder="1"/>
    <xf numFmtId="9" fontId="73" fillId="0" borderId="0" xfId="2" applyFont="1" applyBorder="1"/>
    <xf numFmtId="43" fontId="75" fillId="0" borderId="0" xfId="0" applyNumberFormat="1" applyFont="1"/>
    <xf numFmtId="0" fontId="77" fillId="0" borderId="0" xfId="0" applyFont="1" applyAlignment="1">
      <alignment horizontal="center"/>
    </xf>
    <xf numFmtId="0" fontId="77" fillId="0" borderId="0" xfId="0" applyFont="1" applyAlignment="1"/>
    <xf numFmtId="0" fontId="78" fillId="24" borderId="0" xfId="0" applyFont="1" applyFill="1" applyAlignment="1">
      <alignment horizontal="center"/>
    </xf>
    <xf numFmtId="43" fontId="79" fillId="24" borderId="0" xfId="0" applyNumberFormat="1" applyFont="1" applyFill="1"/>
    <xf numFmtId="43" fontId="79" fillId="24" borderId="4" xfId="0" applyNumberFormat="1" applyFont="1" applyFill="1" applyBorder="1"/>
    <xf numFmtId="43" fontId="80" fillId="24" borderId="0" xfId="0" applyNumberFormat="1" applyFont="1" applyFill="1"/>
    <xf numFmtId="0" fontId="80" fillId="24" borderId="0" xfId="0" applyFont="1" applyFill="1" applyAlignment="1">
      <alignment horizontal="center"/>
    </xf>
    <xf numFmtId="43" fontId="73" fillId="0" borderId="0" xfId="1" applyFont="1" applyBorder="1"/>
    <xf numFmtId="43" fontId="79" fillId="24" borderId="0" xfId="0" applyNumberFormat="1" applyFont="1" applyFill="1" applyBorder="1"/>
    <xf numFmtId="0" fontId="73" fillId="0" borderId="0" xfId="0" applyFont="1" applyBorder="1"/>
    <xf numFmtId="0" fontId="75" fillId="0" borderId="4" xfId="0" applyFont="1" applyBorder="1" applyAlignment="1"/>
    <xf numFmtId="0" fontId="75" fillId="28" borderId="36" xfId="0" applyFont="1" applyFill="1" applyBorder="1"/>
    <xf numFmtId="0" fontId="75" fillId="28" borderId="56" xfId="0" applyFont="1" applyFill="1" applyBorder="1"/>
    <xf numFmtId="0" fontId="73" fillId="28" borderId="56" xfId="0" applyFont="1" applyFill="1" applyBorder="1"/>
    <xf numFmtId="0" fontId="73" fillId="28" borderId="57" xfId="0" applyFont="1" applyFill="1" applyBorder="1"/>
    <xf numFmtId="0" fontId="75" fillId="28" borderId="57" xfId="0" applyFont="1" applyFill="1" applyBorder="1"/>
    <xf numFmtId="0" fontId="81" fillId="0" borderId="0" xfId="0" applyFont="1" applyAlignment="1">
      <alignment horizontal="center"/>
    </xf>
    <xf numFmtId="0" fontId="81" fillId="0" borderId="0" xfId="0" applyFont="1" applyAlignment="1"/>
    <xf numFmtId="43" fontId="79" fillId="0" borderId="0" xfId="1" applyFont="1"/>
    <xf numFmtId="9" fontId="79" fillId="0" borderId="0" xfId="2" applyFont="1"/>
    <xf numFmtId="0" fontId="79" fillId="0" borderId="0" xfId="0" applyFont="1"/>
    <xf numFmtId="0" fontId="79" fillId="28" borderId="56" xfId="0" applyFont="1" applyFill="1" applyBorder="1"/>
    <xf numFmtId="0" fontId="81" fillId="0" borderId="0" xfId="0" applyFont="1" applyFill="1" applyAlignment="1">
      <alignment horizontal="center"/>
    </xf>
    <xf numFmtId="0" fontId="81" fillId="0" borderId="0" xfId="0" applyFont="1" applyFill="1" applyAlignment="1"/>
    <xf numFmtId="0" fontId="79" fillId="0" borderId="0" xfId="0" applyFont="1" applyFill="1"/>
    <xf numFmtId="41" fontId="26" fillId="3" borderId="57" xfId="0" applyNumberFormat="1" applyFont="1" applyFill="1" applyBorder="1" applyAlignment="1" applyProtection="1">
      <alignment horizontal="center" vertical="center" wrapText="1"/>
      <protection locked="0"/>
    </xf>
    <xf numFmtId="171" fontId="0" fillId="0" borderId="2" xfId="0" applyNumberFormat="1" applyFont="1" applyBorder="1" applyAlignment="1">
      <alignment horizontal="right" wrapText="1"/>
    </xf>
    <xf numFmtId="172" fontId="25" fillId="19" borderId="2" xfId="0" applyNumberFormat="1" applyFont="1" applyFill="1" applyBorder="1" applyAlignment="1">
      <alignment horizontal="right" wrapText="1"/>
    </xf>
    <xf numFmtId="172" fontId="63" fillId="5" borderId="2" xfId="0" applyNumberFormat="1" applyFont="1" applyFill="1" applyBorder="1" applyAlignment="1">
      <alignment horizontal="right" wrapText="1"/>
    </xf>
    <xf numFmtId="172" fontId="63" fillId="20" borderId="2" xfId="0" applyNumberFormat="1" applyFont="1" applyFill="1" applyBorder="1" applyAlignment="1">
      <alignment horizontal="right" wrapText="1"/>
    </xf>
    <xf numFmtId="172" fontId="63" fillId="19" borderId="2" xfId="0" applyNumberFormat="1" applyFont="1" applyFill="1" applyBorder="1" applyAlignment="1">
      <alignment horizontal="right" wrapText="1"/>
    </xf>
    <xf numFmtId="169" fontId="73" fillId="0" borderId="0" xfId="1" applyNumberFormat="1" applyFont="1"/>
    <xf numFmtId="169" fontId="73" fillId="0" borderId="4" xfId="1" applyNumberFormat="1" applyFont="1" applyBorder="1"/>
    <xf numFmtId="169" fontId="75" fillId="0" borderId="0" xfId="1" applyNumberFormat="1" applyFont="1"/>
    <xf numFmtId="169" fontId="75" fillId="0" borderId="32" xfId="1" applyNumberFormat="1" applyFont="1" applyBorder="1"/>
    <xf numFmtId="168" fontId="63" fillId="3" borderId="2" xfId="4" applyNumberFormat="1" applyFont="1" applyFill="1" applyBorder="1" applyAlignment="1">
      <alignment horizontal="right" wrapText="1"/>
    </xf>
    <xf numFmtId="169" fontId="46" fillId="5" borderId="2" xfId="1" applyNumberFormat="1" applyFont="1" applyFill="1" applyBorder="1" applyAlignment="1">
      <alignment horizontal="right" wrapText="1"/>
    </xf>
    <xf numFmtId="0" fontId="75" fillId="24" borderId="36" xfId="0" applyFont="1" applyFill="1" applyBorder="1" applyAlignment="1">
      <alignment horizontal="left"/>
    </xf>
    <xf numFmtId="0" fontId="73" fillId="24" borderId="56" xfId="0" applyFont="1" applyFill="1" applyBorder="1"/>
    <xf numFmtId="0" fontId="73" fillId="24" borderId="57" xfId="0" applyFont="1" applyFill="1" applyBorder="1"/>
    <xf numFmtId="169" fontId="73" fillId="0" borderId="0" xfId="1" applyNumberFormat="1" applyFont="1" applyBorder="1"/>
    <xf numFmtId="169" fontId="63" fillId="5" borderId="2" xfId="1" applyNumberFormat="1" applyFont="1" applyFill="1" applyBorder="1" applyAlignment="1" applyProtection="1">
      <alignment vertical="center" wrapText="1"/>
      <protection locked="0"/>
    </xf>
    <xf numFmtId="169" fontId="63" fillId="4" borderId="2" xfId="0" applyNumberFormat="1" applyFont="1" applyFill="1" applyBorder="1" applyProtection="1"/>
    <xf numFmtId="169" fontId="63" fillId="4" borderId="36" xfId="0" applyNumberFormat="1" applyFont="1" applyFill="1" applyBorder="1" applyProtection="1"/>
    <xf numFmtId="169" fontId="63" fillId="5" borderId="2" xfId="0" applyNumberFormat="1" applyFont="1" applyFill="1" applyBorder="1" applyProtection="1"/>
    <xf numFmtId="169" fontId="46" fillId="5" borderId="2" xfId="0" applyNumberFormat="1" applyFont="1" applyFill="1" applyBorder="1" applyAlignment="1">
      <alignment wrapText="1"/>
    </xf>
    <xf numFmtId="171" fontId="46" fillId="5" borderId="2" xfId="0" applyNumberFormat="1" applyFont="1" applyFill="1" applyBorder="1" applyAlignment="1">
      <alignment wrapText="1"/>
    </xf>
    <xf numFmtId="171" fontId="0" fillId="0" borderId="2" xfId="0" applyNumberFormat="1" applyFont="1" applyBorder="1" applyAlignment="1">
      <alignment wrapText="1"/>
    </xf>
    <xf numFmtId="171" fontId="0" fillId="0" borderId="2" xfId="0" applyNumberFormat="1" applyFont="1" applyFill="1" applyBorder="1" applyAlignment="1">
      <alignment wrapText="1"/>
    </xf>
    <xf numFmtId="171" fontId="46" fillId="5" borderId="2" xfId="0" applyNumberFormat="1" applyFont="1" applyFill="1" applyBorder="1" applyAlignment="1">
      <alignment horizontal="right" wrapText="1"/>
    </xf>
    <xf numFmtId="171" fontId="63" fillId="19" borderId="2" xfId="0" applyNumberFormat="1" applyFont="1" applyFill="1" applyBorder="1" applyAlignment="1">
      <alignment horizontal="right" wrapText="1"/>
    </xf>
    <xf numFmtId="171" fontId="63" fillId="8" borderId="2" xfId="0" applyNumberFormat="1" applyFont="1" applyFill="1" applyBorder="1" applyAlignment="1">
      <alignment horizontal="right" wrapText="1"/>
    </xf>
    <xf numFmtId="172" fontId="25" fillId="8" borderId="2" xfId="0" applyNumberFormat="1" applyFont="1" applyFill="1" applyBorder="1" applyAlignment="1">
      <alignment horizontal="right" wrapText="1"/>
    </xf>
    <xf numFmtId="172" fontId="63" fillId="8" borderId="2" xfId="0" applyNumberFormat="1" applyFont="1" applyFill="1" applyBorder="1" applyAlignment="1">
      <alignment horizontal="right" wrapText="1"/>
    </xf>
    <xf numFmtId="172" fontId="25" fillId="0" borderId="2" xfId="0" applyNumberFormat="1" applyFont="1" applyBorder="1" applyAlignment="1">
      <alignment horizontal="right" wrapText="1"/>
    </xf>
    <xf numFmtId="172" fontId="0" fillId="0" borderId="2" xfId="0" applyNumberFormat="1" applyFont="1" applyBorder="1" applyAlignment="1">
      <alignment horizontal="right" wrapText="1"/>
    </xf>
    <xf numFmtId="172" fontId="46" fillId="5" borderId="2" xfId="0" applyNumberFormat="1" applyFont="1" applyFill="1" applyBorder="1" applyAlignment="1">
      <alignment horizontal="right" wrapText="1"/>
    </xf>
    <xf numFmtId="172" fontId="63" fillId="3" borderId="2" xfId="0" applyNumberFormat="1" applyFont="1" applyFill="1" applyBorder="1" applyAlignment="1">
      <alignment horizontal="right" wrapText="1"/>
    </xf>
    <xf numFmtId="169" fontId="0" fillId="0" borderId="2" xfId="1" applyNumberFormat="1" applyFont="1" applyBorder="1" applyAlignment="1">
      <alignment wrapText="1"/>
    </xf>
    <xf numFmtId="169" fontId="46" fillId="5" borderId="2" xfId="1" applyNumberFormat="1" applyFont="1" applyFill="1" applyBorder="1" applyAlignment="1">
      <alignment wrapText="1"/>
    </xf>
    <xf numFmtId="169" fontId="0" fillId="0" borderId="2" xfId="1" applyNumberFormat="1" applyFont="1" applyBorder="1" applyAlignment="1">
      <alignment horizontal="right" wrapText="1"/>
    </xf>
    <xf numFmtId="169" fontId="0" fillId="0" borderId="2" xfId="1" applyNumberFormat="1" applyFont="1" applyFill="1" applyBorder="1" applyAlignment="1">
      <alignment horizontal="right" wrapText="1"/>
    </xf>
    <xf numFmtId="169" fontId="0" fillId="13" borderId="2" xfId="1" applyNumberFormat="1" applyFont="1" applyFill="1" applyBorder="1" applyAlignment="1">
      <alignment horizontal="right" wrapText="1"/>
    </xf>
    <xf numFmtId="169" fontId="0" fillId="0" borderId="2" xfId="1" applyNumberFormat="1" applyFont="1" applyFill="1" applyBorder="1" applyAlignment="1">
      <alignment wrapText="1"/>
    </xf>
    <xf numFmtId="169" fontId="0" fillId="13" borderId="2" xfId="1" applyNumberFormat="1" applyFont="1" applyFill="1" applyBorder="1" applyAlignment="1">
      <alignment wrapText="1"/>
    </xf>
    <xf numFmtId="169" fontId="0" fillId="0" borderId="2" xfId="1" applyNumberFormat="1" applyFont="1" applyFill="1" applyBorder="1" applyAlignment="1">
      <alignment vertical="center" wrapText="1"/>
    </xf>
    <xf numFmtId="169" fontId="46" fillId="5" borderId="2" xfId="1" applyNumberFormat="1" applyFont="1" applyFill="1" applyBorder="1" applyAlignment="1">
      <alignment vertical="center" wrapText="1"/>
    </xf>
    <xf numFmtId="169" fontId="0" fillId="0" borderId="2" xfId="1" applyNumberFormat="1" applyFont="1" applyBorder="1"/>
    <xf numFmtId="169" fontId="46" fillId="5" borderId="2" xfId="1" applyNumberFormat="1" applyFont="1" applyFill="1" applyBorder="1"/>
    <xf numFmtId="172" fontId="46" fillId="0" borderId="0" xfId="0" applyNumberFormat="1" applyFont="1" applyFill="1"/>
    <xf numFmtId="169" fontId="0" fillId="0" borderId="0" xfId="0" applyNumberFormat="1" applyFont="1"/>
    <xf numFmtId="0" fontId="10" fillId="32" borderId="2" xfId="0" applyFont="1" applyFill="1" applyBorder="1"/>
    <xf numFmtId="0" fontId="10" fillId="0" borderId="2" xfId="0" applyFont="1" applyFill="1" applyBorder="1"/>
    <xf numFmtId="1" fontId="10" fillId="32" borderId="2" xfId="0" applyNumberFormat="1" applyFont="1" applyFill="1" applyBorder="1"/>
    <xf numFmtId="0" fontId="16" fillId="0" borderId="2" xfId="0" applyFont="1" applyBorder="1" applyAlignment="1">
      <alignment horizontal="center"/>
    </xf>
    <xf numFmtId="1" fontId="16" fillId="32" borderId="2" xfId="0" applyNumberFormat="1" applyFont="1" applyFill="1" applyBorder="1"/>
    <xf numFmtId="1" fontId="16" fillId="0" borderId="2" xfId="0" applyNumberFormat="1" applyFont="1" applyBorder="1"/>
    <xf numFmtId="0" fontId="16" fillId="32" borderId="2" xfId="0" applyFont="1" applyFill="1" applyBorder="1"/>
    <xf numFmtId="0" fontId="16" fillId="0" borderId="2" xfId="0" applyFont="1" applyFill="1" applyBorder="1"/>
    <xf numFmtId="0" fontId="16" fillId="0" borderId="0" xfId="0" applyFont="1"/>
    <xf numFmtId="43" fontId="25" fillId="0" borderId="0" xfId="0" applyNumberFormat="1" applyFont="1"/>
    <xf numFmtId="0" fontId="64" fillId="5" borderId="0" xfId="0" applyFont="1" applyFill="1" applyAlignment="1">
      <alignment horizontal="left"/>
    </xf>
    <xf numFmtId="173" fontId="6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4" xfId="0" applyFont="1" applyFill="1" applyBorder="1" applyAlignment="1">
      <alignment horizontal="center" vertical="center" wrapText="1"/>
    </xf>
    <xf numFmtId="41" fontId="63" fillId="5" borderId="57" xfId="0" applyNumberFormat="1" applyFont="1" applyFill="1" applyBorder="1" applyAlignment="1" applyProtection="1">
      <alignment horizontal="center" vertical="center" wrapText="1"/>
      <protection locked="0"/>
    </xf>
    <xf numFmtId="41" fontId="63" fillId="29" borderId="6" xfId="0" applyNumberFormat="1" applyFont="1" applyFill="1" applyBorder="1" applyAlignment="1" applyProtection="1">
      <alignment horizontal="center" vertical="center"/>
      <protection locked="0"/>
    </xf>
    <xf numFmtId="172" fontId="25" fillId="8" borderId="2" xfId="4" applyNumberFormat="1" applyFont="1" applyFill="1" applyBorder="1" applyAlignment="1">
      <alignment horizontal="right" wrapText="1"/>
    </xf>
    <xf numFmtId="169" fontId="75" fillId="0" borderId="0" xfId="1" applyNumberFormat="1" applyFont="1" applyBorder="1"/>
    <xf numFmtId="9" fontId="73" fillId="0" borderId="4" xfId="2" applyFont="1" applyBorder="1"/>
    <xf numFmtId="9" fontId="75" fillId="0" borderId="0" xfId="2" applyFont="1"/>
    <xf numFmtId="0" fontId="73" fillId="5" borderId="0" xfId="0" applyFont="1" applyFill="1"/>
    <xf numFmtId="0" fontId="75" fillId="5" borderId="0" xfId="0" applyFont="1" applyFill="1" applyAlignment="1">
      <alignment horizontal="center"/>
    </xf>
    <xf numFmtId="14" fontId="76" fillId="5" borderId="0" xfId="0" applyNumberFormat="1" applyFont="1" applyFill="1" applyAlignment="1">
      <alignment horizontal="center"/>
    </xf>
    <xf numFmtId="169" fontId="73" fillId="5" borderId="0" xfId="1" applyNumberFormat="1" applyFont="1" applyFill="1"/>
    <xf numFmtId="169" fontId="73" fillId="5" borderId="4" xfId="1" applyNumberFormat="1" applyFont="1" applyFill="1" applyBorder="1"/>
    <xf numFmtId="169" fontId="75" fillId="5" borderId="0" xfId="1" applyNumberFormat="1" applyFont="1" applyFill="1"/>
    <xf numFmtId="169" fontId="73" fillId="5" borderId="0" xfId="1" applyNumberFormat="1" applyFont="1" applyFill="1" applyBorder="1"/>
    <xf numFmtId="169" fontId="75" fillId="5" borderId="32" xfId="1" applyNumberFormat="1" applyFont="1" applyFill="1" applyBorder="1"/>
    <xf numFmtId="9" fontId="75" fillId="0" borderId="0" xfId="2" applyFont="1" applyBorder="1"/>
    <xf numFmtId="9" fontId="75" fillId="0" borderId="32" xfId="2" applyFont="1" applyBorder="1"/>
    <xf numFmtId="0" fontId="78" fillId="0" borderId="0" xfId="0" applyFont="1" applyAlignment="1">
      <alignment horizontal="center"/>
    </xf>
    <xf numFmtId="169" fontId="79" fillId="0" borderId="0" xfId="1" applyNumberFormat="1" applyFont="1"/>
    <xf numFmtId="169" fontId="79" fillId="0" borderId="4" xfId="1" applyNumberFormat="1" applyFont="1" applyBorder="1"/>
    <xf numFmtId="169" fontId="80" fillId="0" borderId="0" xfId="1" applyNumberFormat="1" applyFont="1"/>
    <xf numFmtId="169" fontId="79" fillId="0" borderId="0" xfId="1" applyNumberFormat="1" applyFont="1" applyBorder="1"/>
    <xf numFmtId="169" fontId="80" fillId="0" borderId="32" xfId="1" applyNumberFormat="1" applyFont="1" applyBorder="1"/>
    <xf numFmtId="9" fontId="46" fillId="5" borderId="2" xfId="2" applyFont="1" applyFill="1" applyBorder="1" applyAlignment="1">
      <alignment horizontal="right" wrapText="1"/>
    </xf>
    <xf numFmtId="9" fontId="46" fillId="5" borderId="2" xfId="2" applyFont="1" applyFill="1" applyBorder="1" applyAlignment="1">
      <alignment wrapText="1"/>
    </xf>
    <xf numFmtId="9" fontId="63" fillId="19" borderId="2" xfId="2" applyFont="1" applyFill="1" applyBorder="1" applyAlignment="1">
      <alignment horizontal="right" wrapText="1"/>
    </xf>
    <xf numFmtId="9" fontId="63" fillId="8" borderId="2" xfId="2" applyFont="1" applyFill="1" applyBorder="1" applyAlignment="1">
      <alignment horizontal="right" wrapText="1"/>
    </xf>
    <xf numFmtId="9" fontId="63" fillId="5" borderId="2" xfId="2" applyFont="1" applyFill="1" applyBorder="1" applyAlignment="1">
      <alignment horizontal="right" wrapText="1"/>
    </xf>
    <xf numFmtId="9" fontId="25" fillId="19" borderId="2" xfId="2" applyFont="1" applyFill="1" applyBorder="1" applyAlignment="1">
      <alignment horizontal="right" wrapText="1"/>
    </xf>
    <xf numFmtId="9" fontId="46" fillId="5" borderId="2" xfId="2" applyFont="1" applyFill="1" applyBorder="1" applyAlignment="1">
      <alignment vertical="center" wrapText="1"/>
    </xf>
    <xf numFmtId="9" fontId="63" fillId="3" borderId="2" xfId="2" applyFont="1" applyFill="1" applyBorder="1" applyAlignment="1">
      <alignment horizontal="right" wrapText="1"/>
    </xf>
    <xf numFmtId="9" fontId="46" fillId="5" borderId="2" xfId="2" applyFont="1" applyFill="1" applyBorder="1"/>
    <xf numFmtId="9" fontId="63" fillId="4" borderId="2" xfId="2" applyFont="1" applyFill="1" applyBorder="1" applyProtection="1"/>
    <xf numFmtId="9" fontId="63" fillId="4" borderId="36" xfId="2" applyFont="1" applyFill="1" applyBorder="1" applyProtection="1"/>
    <xf numFmtId="0" fontId="63" fillId="0" borderId="2" xfId="0" applyFont="1" applyBorder="1" applyAlignment="1">
      <alignment horizontal="left"/>
    </xf>
    <xf numFmtId="169" fontId="46" fillId="0" borderId="2" xfId="1" applyNumberFormat="1" applyFont="1" applyBorder="1" applyAlignment="1">
      <alignment horizontal="right" wrapText="1"/>
    </xf>
    <xf numFmtId="164" fontId="46" fillId="29" borderId="2" xfId="0" applyNumberFormat="1" applyFont="1" applyFill="1" applyBorder="1" applyAlignment="1">
      <alignment horizontal="right" wrapText="1"/>
    </xf>
    <xf numFmtId="164" fontId="46" fillId="0" borderId="2" xfId="0" applyNumberFormat="1" applyFont="1" applyBorder="1" applyAlignment="1">
      <alignment horizontal="right" wrapText="1"/>
    </xf>
    <xf numFmtId="0" fontId="46" fillId="0" borderId="2" xfId="0" applyFont="1" applyBorder="1"/>
    <xf numFmtId="0" fontId="46" fillId="0" borderId="0" xfId="0" applyFont="1"/>
    <xf numFmtId="41" fontId="63" fillId="29" borderId="57" xfId="0" applyNumberFormat="1" applyFont="1" applyFill="1" applyBorder="1" applyAlignment="1" applyProtection="1">
      <alignment horizontal="center" vertical="center" wrapText="1"/>
      <protection locked="0"/>
    </xf>
    <xf numFmtId="0" fontId="25" fillId="29" borderId="2" xfId="0" applyFont="1" applyFill="1" applyBorder="1" applyAlignment="1">
      <alignment horizontal="left" wrapText="1"/>
    </xf>
    <xf numFmtId="171" fontId="0" fillId="29" borderId="2" xfId="0" applyNumberFormat="1" applyFont="1" applyFill="1" applyBorder="1" applyAlignment="1">
      <alignment wrapText="1"/>
    </xf>
    <xf numFmtId="171" fontId="0" fillId="29" borderId="2" xfId="0" applyNumberFormat="1" applyFont="1" applyFill="1" applyBorder="1" applyAlignment="1">
      <alignment horizontal="right" wrapText="1"/>
    </xf>
    <xf numFmtId="172" fontId="25" fillId="29" borderId="2" xfId="0" applyNumberFormat="1" applyFont="1" applyFill="1" applyBorder="1" applyAlignment="1">
      <alignment horizontal="right" wrapText="1"/>
    </xf>
    <xf numFmtId="169" fontId="0" fillId="29" borderId="2" xfId="1" applyNumberFormat="1" applyFont="1" applyFill="1" applyBorder="1" applyAlignment="1">
      <alignment wrapText="1"/>
    </xf>
    <xf numFmtId="169" fontId="0" fillId="29" borderId="2" xfId="1" applyNumberFormat="1" applyFont="1" applyFill="1" applyBorder="1" applyAlignment="1">
      <alignment horizontal="right" wrapText="1"/>
    </xf>
    <xf numFmtId="169" fontId="46" fillId="29" borderId="2" xfId="1" applyNumberFormat="1" applyFont="1" applyFill="1" applyBorder="1" applyAlignment="1">
      <alignment horizontal="right" wrapText="1"/>
    </xf>
    <xf numFmtId="169" fontId="0" fillId="29" borderId="2" xfId="1" applyNumberFormat="1" applyFont="1" applyFill="1" applyBorder="1" applyAlignment="1">
      <alignment vertical="center" wrapText="1"/>
    </xf>
    <xf numFmtId="169" fontId="0" fillId="29" borderId="2" xfId="1" applyNumberFormat="1" applyFont="1" applyFill="1" applyBorder="1"/>
    <xf numFmtId="172" fontId="63" fillId="29" borderId="2" xfId="0" applyNumberFormat="1" applyFont="1" applyFill="1" applyBorder="1" applyAlignment="1">
      <alignment horizontal="right" wrapText="1"/>
    </xf>
    <xf numFmtId="0" fontId="26" fillId="29" borderId="2" xfId="0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ont="1"/>
    <xf numFmtId="0" fontId="83" fillId="0" borderId="0" xfId="17" applyFont="1" applyAlignment="1">
      <alignment horizontal="left"/>
    </xf>
    <xf numFmtId="0" fontId="84" fillId="0" borderId="0" xfId="17" applyFont="1" applyAlignment="1">
      <alignment horizontal="left"/>
    </xf>
    <xf numFmtId="0" fontId="20" fillId="0" borderId="0" xfId="17" applyAlignment="1">
      <alignment horizontal="left"/>
    </xf>
    <xf numFmtId="0" fontId="85" fillId="0" borderId="0" xfId="17" applyFont="1" applyAlignment="1">
      <alignment horizontal="left"/>
    </xf>
    <xf numFmtId="17" fontId="86" fillId="0" borderId="0" xfId="17" applyNumberFormat="1" applyFont="1" applyAlignment="1">
      <alignment horizontal="center"/>
    </xf>
    <xf numFmtId="0" fontId="87" fillId="0" borderId="0" xfId="17" applyFont="1" applyAlignment="1">
      <alignment horizontal="left"/>
    </xf>
    <xf numFmtId="0" fontId="20" fillId="0" borderId="0" xfId="17"/>
    <xf numFmtId="17" fontId="83" fillId="0" borderId="0" xfId="17" applyNumberFormat="1" applyFont="1" applyAlignment="1">
      <alignment horizontal="center" wrapText="1"/>
    </xf>
    <xf numFmtId="0" fontId="20" fillId="0" borderId="0" xfId="17" applyAlignment="1">
      <alignment horizontal="center"/>
    </xf>
    <xf numFmtId="0" fontId="83" fillId="0" borderId="0" xfId="17" applyFont="1"/>
    <xf numFmtId="0" fontId="83" fillId="0" borderId="0" xfId="17" applyFont="1" applyAlignment="1">
      <alignment horizontal="right"/>
    </xf>
    <xf numFmtId="169" fontId="83" fillId="0" borderId="0" xfId="17" applyNumberFormat="1" applyFont="1" applyAlignment="1">
      <alignment horizontal="center"/>
    </xf>
    <xf numFmtId="169" fontId="20" fillId="0" borderId="0" xfId="18" applyNumberFormat="1"/>
    <xf numFmtId="0" fontId="85" fillId="0" borderId="0" xfId="17" applyFont="1"/>
    <xf numFmtId="169" fontId="83" fillId="0" borderId="0" xfId="18" applyNumberFormat="1" applyFont="1"/>
    <xf numFmtId="0" fontId="83" fillId="19" borderId="0" xfId="17" applyFont="1" applyFill="1" applyAlignment="1">
      <alignment horizontal="left"/>
    </xf>
    <xf numFmtId="0" fontId="20" fillId="19" borderId="0" xfId="17" applyFill="1" applyAlignment="1">
      <alignment horizontal="left"/>
    </xf>
    <xf numFmtId="0" fontId="20" fillId="19" borderId="0" xfId="17" applyFill="1"/>
    <xf numFmtId="0" fontId="20" fillId="19" borderId="0" xfId="17" applyFill="1" applyAlignment="1">
      <alignment horizontal="right"/>
    </xf>
    <xf numFmtId="169" fontId="83" fillId="19" borderId="38" xfId="18" applyNumberFormat="1" applyFont="1" applyFill="1" applyBorder="1"/>
    <xf numFmtId="0" fontId="20" fillId="0" borderId="0" xfId="17" applyAlignment="1">
      <alignment horizontal="left" indent="1"/>
    </xf>
    <xf numFmtId="0" fontId="83" fillId="0" borderId="0" xfId="17" applyFont="1" applyAlignment="1">
      <alignment horizontal="left" indent="1"/>
    </xf>
    <xf numFmtId="169" fontId="83" fillId="0" borderId="1" xfId="18" applyNumberFormat="1" applyFont="1" applyBorder="1"/>
    <xf numFmtId="169" fontId="20" fillId="0" borderId="0" xfId="18" applyNumberFormat="1" applyAlignment="1">
      <alignment horizontal="right"/>
    </xf>
    <xf numFmtId="169" fontId="83" fillId="0" borderId="4" xfId="18" applyNumberFormat="1" applyFont="1" applyBorder="1"/>
    <xf numFmtId="0" fontId="83" fillId="19" borderId="0" xfId="17" applyFont="1" applyFill="1" applyAlignment="1">
      <alignment horizontal="right"/>
    </xf>
    <xf numFmtId="169" fontId="83" fillId="19" borderId="19" xfId="18" applyNumberFormat="1" applyFont="1" applyFill="1" applyBorder="1"/>
    <xf numFmtId="169" fontId="20" fillId="0" borderId="0" xfId="17" applyNumberFormat="1"/>
    <xf numFmtId="169" fontId="20" fillId="0" borderId="0" xfId="1" applyNumberFormat="1" applyFont="1"/>
    <xf numFmtId="44" fontId="73" fillId="0" borderId="0" xfId="0" applyNumberFormat="1" applyFont="1"/>
    <xf numFmtId="0" fontId="88" fillId="0" borderId="0" xfId="0" applyFont="1"/>
    <xf numFmtId="168" fontId="73" fillId="0" borderId="0" xfId="4" applyNumberFormat="1" applyFont="1"/>
    <xf numFmtId="168" fontId="73" fillId="0" borderId="0" xfId="0" applyNumberFormat="1" applyFont="1"/>
    <xf numFmtId="0" fontId="88" fillId="0" borderId="0" xfId="0" applyFont="1" applyAlignment="1">
      <alignment horizontal="left"/>
    </xf>
    <xf numFmtId="0" fontId="89" fillId="0" borderId="0" xfId="0" applyFont="1" applyAlignment="1"/>
    <xf numFmtId="0" fontId="73" fillId="0" borderId="0" xfId="0" applyFont="1" applyAlignment="1"/>
    <xf numFmtId="0" fontId="90" fillId="0" borderId="0" xfId="0" applyFont="1" applyAlignment="1"/>
    <xf numFmtId="0" fontId="74" fillId="0" borderId="0" xfId="0" applyFont="1" applyAlignment="1"/>
    <xf numFmtId="0" fontId="91" fillId="0" borderId="0" xfId="0" applyFont="1" applyAlignment="1"/>
    <xf numFmtId="0" fontId="25" fillId="5" borderId="44" xfId="0" applyFont="1" applyFill="1" applyBorder="1" applyAlignment="1"/>
    <xf numFmtId="41" fontId="63" fillId="4" borderId="2" xfId="0" applyNumberFormat="1" applyFont="1" applyFill="1" applyBorder="1" applyProtection="1"/>
    <xf numFmtId="41" fontId="63" fillId="4" borderId="36" xfId="0" applyNumberFormat="1" applyFont="1" applyFill="1" applyBorder="1" applyProtection="1"/>
    <xf numFmtId="172" fontId="0" fillId="29" borderId="2" xfId="0" applyNumberFormat="1" applyFont="1" applyFill="1" applyBorder="1" applyAlignment="1">
      <alignment horizontal="right" wrapText="1"/>
    </xf>
    <xf numFmtId="172" fontId="25" fillId="5" borderId="2" xfId="0" applyNumberFormat="1" applyFont="1" applyFill="1" applyBorder="1" applyAlignment="1">
      <alignment horizontal="right" wrapText="1"/>
    </xf>
    <xf numFmtId="41" fontId="63" fillId="5" borderId="2" xfId="0" applyNumberFormat="1" applyFont="1" applyFill="1" applyBorder="1" applyProtection="1"/>
    <xf numFmtId="0" fontId="63" fillId="5" borderId="2" xfId="0" applyFont="1" applyFill="1" applyBorder="1" applyAlignment="1">
      <alignment horizontal="left" wrapText="1"/>
    </xf>
    <xf numFmtId="0" fontId="80" fillId="20" borderId="0" xfId="0" applyFont="1" applyFill="1" applyAlignment="1">
      <alignment horizontal="center"/>
    </xf>
    <xf numFmtId="0" fontId="78" fillId="20" borderId="0" xfId="0" applyFont="1" applyFill="1" applyAlignment="1">
      <alignment horizontal="center"/>
    </xf>
    <xf numFmtId="169" fontId="79" fillId="20" borderId="0" xfId="1" applyNumberFormat="1" applyFont="1" applyFill="1"/>
    <xf numFmtId="169" fontId="79" fillId="20" borderId="4" xfId="1" applyNumberFormat="1" applyFont="1" applyFill="1" applyBorder="1"/>
    <xf numFmtId="169" fontId="80" fillId="20" borderId="0" xfId="1" applyNumberFormat="1" applyFont="1" applyFill="1"/>
    <xf numFmtId="169" fontId="79" fillId="20" borderId="0" xfId="1" applyNumberFormat="1" applyFont="1" applyFill="1" applyBorder="1"/>
    <xf numFmtId="169" fontId="80" fillId="20" borderId="32" xfId="1" applyNumberFormat="1" applyFont="1" applyFill="1" applyBorder="1"/>
    <xf numFmtId="41" fontId="63" fillId="33" borderId="57" xfId="0" applyNumberFormat="1" applyFont="1" applyFill="1" applyBorder="1" applyAlignment="1" applyProtection="1">
      <alignment horizontal="center" vertical="center" wrapText="1"/>
      <protection locked="0"/>
    </xf>
    <xf numFmtId="1" fontId="63" fillId="33" borderId="2" xfId="0" applyNumberFormat="1" applyFont="1" applyFill="1" applyBorder="1" applyAlignment="1" applyProtection="1">
      <alignment horizontal="center" vertical="center" wrapText="1"/>
      <protection locked="0"/>
    </xf>
    <xf numFmtId="173" fontId="63" fillId="33" borderId="2" xfId="0" applyNumberFormat="1" applyFont="1" applyFill="1" applyBorder="1" applyAlignment="1" applyProtection="1">
      <alignment horizontal="center" vertical="center" wrapText="1"/>
      <protection locked="0"/>
    </xf>
    <xf numFmtId="9" fontId="63" fillId="33" borderId="2" xfId="0" applyNumberFormat="1" applyFont="1" applyFill="1" applyBorder="1" applyAlignment="1" applyProtection="1">
      <alignment horizontal="center" vertical="center" wrapText="1"/>
      <protection locked="0"/>
    </xf>
    <xf numFmtId="169" fontId="63" fillId="33" borderId="2" xfId="1" applyNumberFormat="1" applyFont="1" applyFill="1" applyBorder="1" applyAlignment="1" applyProtection="1">
      <alignment vertical="center" wrapText="1"/>
      <protection locked="0"/>
    </xf>
    <xf numFmtId="169" fontId="63" fillId="33" borderId="2" xfId="0" applyNumberFormat="1" applyFont="1" applyFill="1" applyBorder="1" applyProtection="1"/>
    <xf numFmtId="169" fontId="46" fillId="33" borderId="2" xfId="0" applyNumberFormat="1" applyFont="1" applyFill="1" applyBorder="1" applyAlignment="1">
      <alignment wrapText="1"/>
    </xf>
    <xf numFmtId="171" fontId="46" fillId="33" borderId="2" xfId="0" applyNumberFormat="1" applyFont="1" applyFill="1" applyBorder="1" applyAlignment="1">
      <alignment wrapText="1"/>
    </xf>
    <xf numFmtId="171" fontId="46" fillId="33" borderId="2" xfId="0" applyNumberFormat="1" applyFont="1" applyFill="1" applyBorder="1" applyAlignment="1">
      <alignment horizontal="right" wrapText="1"/>
    </xf>
    <xf numFmtId="172" fontId="63" fillId="33" borderId="2" xfId="0" applyNumberFormat="1" applyFont="1" applyFill="1" applyBorder="1" applyAlignment="1">
      <alignment horizontal="right" wrapText="1"/>
    </xf>
    <xf numFmtId="169" fontId="46" fillId="33" borderId="2" xfId="1" applyNumberFormat="1" applyFont="1" applyFill="1" applyBorder="1" applyAlignment="1">
      <alignment wrapText="1"/>
    </xf>
    <xf numFmtId="169" fontId="46" fillId="33" borderId="2" xfId="1" applyNumberFormat="1" applyFont="1" applyFill="1" applyBorder="1" applyAlignment="1">
      <alignment horizontal="right" wrapText="1"/>
    </xf>
    <xf numFmtId="172" fontId="46" fillId="33" borderId="2" xfId="0" applyNumberFormat="1" applyFont="1" applyFill="1" applyBorder="1" applyAlignment="1">
      <alignment horizontal="right" wrapText="1"/>
    </xf>
    <xf numFmtId="169" fontId="46" fillId="33" borderId="2" xfId="1" applyNumberFormat="1" applyFont="1" applyFill="1" applyBorder="1" applyAlignment="1">
      <alignment vertical="center" wrapText="1"/>
    </xf>
    <xf numFmtId="169" fontId="46" fillId="33" borderId="2" xfId="1" applyNumberFormat="1" applyFont="1" applyFill="1" applyBorder="1"/>
    <xf numFmtId="0" fontId="46" fillId="33" borderId="2" xfId="0" applyFont="1" applyFill="1" applyBorder="1"/>
    <xf numFmtId="0" fontId="75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/>
    </xf>
    <xf numFmtId="169" fontId="73" fillId="33" borderId="0" xfId="1" applyNumberFormat="1" applyFont="1" applyFill="1"/>
    <xf numFmtId="169" fontId="73" fillId="33" borderId="4" xfId="1" applyNumberFormat="1" applyFont="1" applyFill="1" applyBorder="1"/>
    <xf numFmtId="169" fontId="75" fillId="33" borderId="0" xfId="1" applyNumberFormat="1" applyFont="1" applyFill="1"/>
    <xf numFmtId="169" fontId="73" fillId="33" borderId="0" xfId="1" applyNumberFormat="1" applyFont="1" applyFill="1" applyBorder="1"/>
    <xf numFmtId="169" fontId="75" fillId="33" borderId="32" xfId="1" applyNumberFormat="1" applyFont="1" applyFill="1" applyBorder="1"/>
    <xf numFmtId="0" fontId="91" fillId="0" borderId="0" xfId="0" applyFont="1" applyAlignment="1">
      <alignment wrapText="1"/>
    </xf>
    <xf numFmtId="0" fontId="91" fillId="0" borderId="0" xfId="0" applyFont="1"/>
    <xf numFmtId="0" fontId="92" fillId="0" borderId="0" xfId="0" applyFont="1" applyAlignment="1">
      <alignment horizontal="left" wrapText="1"/>
    </xf>
    <xf numFmtId="164" fontId="91" fillId="0" borderId="0" xfId="0" applyNumberFormat="1" applyFont="1" applyAlignment="1">
      <alignment wrapText="1"/>
    </xf>
    <xf numFmtId="164" fontId="91" fillId="0" borderId="0" xfId="0" applyNumberFormat="1" applyFont="1" applyAlignment="1">
      <alignment horizontal="right" wrapText="1"/>
    </xf>
    <xf numFmtId="0" fontId="92" fillId="0" borderId="0" xfId="0" applyFont="1"/>
    <xf numFmtId="0" fontId="91" fillId="0" borderId="0" xfId="0" applyFont="1" applyAlignment="1">
      <alignment horizontal="left" wrapText="1"/>
    </xf>
    <xf numFmtId="165" fontId="91" fillId="0" borderId="1" xfId="0" applyNumberFormat="1" applyFont="1" applyBorder="1" applyAlignment="1">
      <alignment horizontal="right" wrapText="1"/>
    </xf>
    <xf numFmtId="165" fontId="92" fillId="0" borderId="20" xfId="0" applyNumberFormat="1" applyFont="1" applyBorder="1" applyAlignment="1">
      <alignment horizontal="right" wrapText="1"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169" fontId="73" fillId="0" borderId="0" xfId="1" applyNumberFormat="1" applyFont="1" applyFill="1"/>
    <xf numFmtId="169" fontId="73" fillId="0" borderId="4" xfId="1" applyNumberFormat="1" applyFont="1" applyFill="1" applyBorder="1"/>
    <xf numFmtId="169" fontId="75" fillId="0" borderId="0" xfId="1" applyNumberFormat="1" applyFont="1" applyFill="1"/>
    <xf numFmtId="169" fontId="73" fillId="0" borderId="0" xfId="1" applyNumberFormat="1" applyFont="1" applyFill="1" applyBorder="1"/>
    <xf numFmtId="169" fontId="75" fillId="0" borderId="32" xfId="1" applyNumberFormat="1" applyFont="1" applyFill="1" applyBorder="1"/>
    <xf numFmtId="0" fontId="93" fillId="0" borderId="2" xfId="0" applyFont="1" applyBorder="1" applyAlignment="1">
      <alignment horizontal="left" wrapText="1"/>
    </xf>
    <xf numFmtId="169" fontId="94" fillId="0" borderId="2" xfId="1" applyNumberFormat="1" applyFont="1" applyBorder="1" applyAlignment="1">
      <alignment wrapText="1"/>
    </xf>
    <xf numFmtId="169" fontId="94" fillId="5" borderId="2" xfId="1" applyNumberFormat="1" applyFont="1" applyFill="1" applyBorder="1" applyAlignment="1">
      <alignment wrapText="1"/>
    </xf>
    <xf numFmtId="169" fontId="94" fillId="29" borderId="2" xfId="1" applyNumberFormat="1" applyFont="1" applyFill="1" applyBorder="1" applyAlignment="1">
      <alignment wrapText="1"/>
    </xf>
    <xf numFmtId="169" fontId="94" fillId="33" borderId="2" xfId="1" applyNumberFormat="1" applyFont="1" applyFill="1" applyBorder="1" applyAlignment="1">
      <alignment wrapText="1"/>
    </xf>
    <xf numFmtId="9" fontId="94" fillId="5" borderId="2" xfId="2" applyFont="1" applyFill="1" applyBorder="1" applyAlignment="1">
      <alignment wrapText="1"/>
    </xf>
    <xf numFmtId="164" fontId="94" fillId="29" borderId="2" xfId="0" applyNumberFormat="1" applyFont="1" applyFill="1" applyBorder="1" applyAlignment="1">
      <alignment wrapText="1"/>
    </xf>
    <xf numFmtId="164" fontId="94" fillId="0" borderId="2" xfId="0" applyNumberFormat="1" applyFont="1" applyBorder="1" applyAlignment="1">
      <alignment wrapText="1"/>
    </xf>
    <xf numFmtId="0" fontId="94" fillId="0" borderId="2" xfId="0" applyFont="1" applyBorder="1"/>
    <xf numFmtId="0" fontId="91" fillId="0" borderId="4" xfId="0" applyFont="1" applyBorder="1" applyAlignment="1">
      <alignment horizontal="center" wrapText="1"/>
    </xf>
    <xf numFmtId="165" fontId="91" fillId="0" borderId="0" xfId="0" applyNumberFormat="1" applyFont="1" applyBorder="1" applyAlignment="1">
      <alignment horizontal="right" wrapText="1"/>
    </xf>
    <xf numFmtId="38" fontId="63" fillId="4" borderId="2" xfId="0" applyNumberFormat="1" applyFont="1" applyFill="1" applyBorder="1" applyProtection="1"/>
    <xf numFmtId="38" fontId="63" fillId="4" borderId="36" xfId="0" applyNumberFormat="1" applyFont="1" applyFill="1" applyBorder="1" applyProtection="1"/>
    <xf numFmtId="6" fontId="26" fillId="3" borderId="2" xfId="0" applyNumberFormat="1" applyFont="1" applyFill="1" applyBorder="1" applyAlignment="1">
      <alignment horizontal="right" wrapText="1"/>
    </xf>
    <xf numFmtId="6" fontId="63" fillId="3" borderId="2" xfId="0" applyNumberFormat="1" applyFont="1" applyFill="1" applyBorder="1" applyAlignment="1">
      <alignment horizontal="right" wrapText="1"/>
    </xf>
    <xf numFmtId="8" fontId="63" fillId="3" borderId="2" xfId="0" applyNumberFormat="1" applyFont="1" applyFill="1" applyBorder="1" applyAlignment="1">
      <alignment horizontal="right" wrapText="1"/>
    </xf>
    <xf numFmtId="8" fontId="63" fillId="3" borderId="2" xfId="4" applyNumberFormat="1" applyFont="1" applyFill="1" applyBorder="1" applyAlignment="1">
      <alignment horizontal="right" wrapText="1"/>
    </xf>
    <xf numFmtId="8" fontId="63" fillId="3" borderId="2" xfId="2" applyNumberFormat="1" applyFont="1" applyFill="1" applyBorder="1" applyAlignment="1">
      <alignment horizontal="right" wrapText="1"/>
    </xf>
    <xf numFmtId="169" fontId="0" fillId="0" borderId="0" xfId="1" applyNumberFormat="1" applyFont="1"/>
    <xf numFmtId="169" fontId="0" fillId="0" borderId="0" xfId="1" applyNumberFormat="1" applyFont="1" applyBorder="1"/>
    <xf numFmtId="0" fontId="0" fillId="0" borderId="21" xfId="0" applyBorder="1"/>
    <xf numFmtId="0" fontId="0" fillId="0" borderId="22" xfId="0" applyBorder="1"/>
    <xf numFmtId="169" fontId="0" fillId="0" borderId="22" xfId="1" applyNumberFormat="1" applyFont="1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169" fontId="0" fillId="0" borderId="29" xfId="1" applyNumberFormat="1" applyFont="1" applyBorder="1"/>
    <xf numFmtId="0" fontId="0" fillId="0" borderId="30" xfId="0" applyBorder="1"/>
    <xf numFmtId="169" fontId="25" fillId="0" borderId="29" xfId="1" applyNumberFormat="1" applyFont="1" applyBorder="1"/>
    <xf numFmtId="0" fontId="95" fillId="0" borderId="0" xfId="0" applyFont="1"/>
    <xf numFmtId="169" fontId="95" fillId="0" borderId="0" xfId="1" applyNumberFormat="1" applyFont="1"/>
    <xf numFmtId="0" fontId="96" fillId="0" borderId="0" xfId="0" applyFont="1"/>
    <xf numFmtId="0" fontId="95" fillId="0" borderId="21" xfId="0" applyFont="1" applyBorder="1"/>
    <xf numFmtId="0" fontId="95" fillId="0" borderId="22" xfId="0" applyFont="1" applyBorder="1"/>
    <xf numFmtId="169" fontId="95" fillId="0" borderId="22" xfId="1" applyNumberFormat="1" applyFont="1" applyBorder="1"/>
    <xf numFmtId="0" fontId="95" fillId="0" borderId="25" xfId="0" applyFont="1" applyBorder="1"/>
    <xf numFmtId="0" fontId="95" fillId="0" borderId="0" xfId="0" applyFont="1" applyBorder="1"/>
    <xf numFmtId="169" fontId="95" fillId="0" borderId="0" xfId="1" applyNumberFormat="1" applyFont="1" applyBorder="1"/>
    <xf numFmtId="0" fontId="95" fillId="0" borderId="28" xfId="0" applyFont="1" applyBorder="1"/>
    <xf numFmtId="0" fontId="95" fillId="0" borderId="29" xfId="0" applyFont="1" applyBorder="1"/>
    <xf numFmtId="169" fontId="95" fillId="0" borderId="29" xfId="1" applyNumberFormat="1" applyFont="1" applyBorder="1"/>
    <xf numFmtId="169" fontId="98" fillId="0" borderId="29" xfId="1" applyNumberFormat="1" applyFont="1" applyBorder="1"/>
    <xf numFmtId="169" fontId="98" fillId="0" borderId="0" xfId="1" applyNumberFormat="1" applyFont="1" applyBorder="1"/>
    <xf numFmtId="0" fontId="95" fillId="0" borderId="0" xfId="0" applyFont="1" applyFill="1" applyBorder="1"/>
    <xf numFmtId="169" fontId="0" fillId="0" borderId="0" xfId="0" applyNumberFormat="1"/>
    <xf numFmtId="0" fontId="100" fillId="0" borderId="0" xfId="0" applyFont="1"/>
    <xf numFmtId="0" fontId="100" fillId="0" borderId="20" xfId="0" applyFont="1" applyBorder="1"/>
    <xf numFmtId="169" fontId="100" fillId="0" borderId="20" xfId="1" applyNumberFormat="1" applyFont="1" applyBorder="1"/>
    <xf numFmtId="0" fontId="0" fillId="6" borderId="0" xfId="0" applyFill="1"/>
    <xf numFmtId="0" fontId="97" fillId="6" borderId="0" xfId="0" applyFont="1" applyFill="1"/>
    <xf numFmtId="169" fontId="97" fillId="6" borderId="0" xfId="1" applyNumberFormat="1" applyFont="1" applyFill="1"/>
    <xf numFmtId="6" fontId="96" fillId="0" borderId="0" xfId="1" applyNumberFormat="1" applyFont="1"/>
    <xf numFmtId="6" fontId="96" fillId="0" borderId="0" xfId="0" applyNumberFormat="1" applyFont="1"/>
    <xf numFmtId="0" fontId="99" fillId="8" borderId="37" xfId="0" applyFont="1" applyFill="1" applyBorder="1"/>
    <xf numFmtId="6" fontId="99" fillId="8" borderId="6" xfId="0" applyNumberFormat="1" applyFont="1" applyFill="1" applyBorder="1"/>
    <xf numFmtId="0" fontId="99" fillId="8" borderId="0" xfId="0" applyFont="1" applyFill="1"/>
    <xf numFmtId="6" fontId="99" fillId="8" borderId="0" xfId="1" applyNumberFormat="1" applyFont="1" applyFill="1"/>
    <xf numFmtId="169" fontId="60" fillId="0" borderId="0" xfId="0" applyNumberFormat="1" applyFont="1"/>
    <xf numFmtId="9" fontId="95" fillId="0" borderId="28" xfId="2" applyFont="1" applyBorder="1"/>
    <xf numFmtId="169" fontId="97" fillId="6" borderId="24" xfId="1" applyNumberFormat="1" applyFont="1" applyFill="1" applyBorder="1"/>
    <xf numFmtId="169" fontId="0" fillId="0" borderId="27" xfId="1" applyNumberFormat="1" applyFont="1" applyBorder="1"/>
    <xf numFmtId="169" fontId="95" fillId="0" borderId="27" xfId="1" applyNumberFormat="1" applyFont="1" applyBorder="1"/>
    <xf numFmtId="169" fontId="95" fillId="0" borderId="24" xfId="1" applyNumberFormat="1" applyFont="1" applyBorder="1"/>
    <xf numFmtId="169" fontId="95" fillId="0" borderId="31" xfId="1" applyNumberFormat="1" applyFont="1" applyBorder="1"/>
    <xf numFmtId="169" fontId="98" fillId="0" borderId="31" xfId="1" applyNumberFormat="1" applyFont="1" applyBorder="1"/>
    <xf numFmtId="169" fontId="98" fillId="0" borderId="27" xfId="1" applyNumberFormat="1" applyFont="1" applyBorder="1"/>
    <xf numFmtId="169" fontId="0" fillId="0" borderId="24" xfId="1" applyNumberFormat="1" applyFont="1" applyBorder="1"/>
    <xf numFmtId="169" fontId="0" fillId="0" borderId="31" xfId="1" applyNumberFormat="1" applyFont="1" applyBorder="1"/>
    <xf numFmtId="169" fontId="25" fillId="0" borderId="31" xfId="1" applyNumberFormat="1" applyFont="1" applyBorder="1"/>
    <xf numFmtId="169" fontId="100" fillId="0" borderId="59" xfId="1" applyNumberFormat="1" applyFont="1" applyBorder="1"/>
    <xf numFmtId="169" fontId="25" fillId="0" borderId="0" xfId="1" applyNumberFormat="1" applyFont="1" applyAlignment="1">
      <alignment horizontal="center"/>
    </xf>
    <xf numFmtId="169" fontId="101" fillId="33" borderId="27" xfId="1" applyNumberFormat="1" applyFont="1" applyFill="1" applyBorder="1"/>
    <xf numFmtId="169" fontId="101" fillId="33" borderId="0" xfId="1" applyNumberFormat="1" applyFont="1" applyFill="1" applyBorder="1"/>
    <xf numFmtId="0" fontId="102" fillId="33" borderId="0" xfId="0" applyFont="1" applyFill="1" applyBorder="1"/>
    <xf numFmtId="0" fontId="103" fillId="0" borderId="0" xfId="0" applyFont="1" applyAlignment="1">
      <alignment horizontal="center"/>
    </xf>
    <xf numFmtId="169" fontId="103" fillId="0" borderId="0" xfId="1" applyNumberFormat="1" applyFont="1" applyAlignment="1">
      <alignment horizontal="center"/>
    </xf>
    <xf numFmtId="169" fontId="101" fillId="0" borderId="0" xfId="1" applyNumberFormat="1" applyFont="1" applyFill="1" applyBorder="1"/>
    <xf numFmtId="0" fontId="102" fillId="0" borderId="0" xfId="0" applyFont="1" applyFill="1" applyBorder="1"/>
    <xf numFmtId="0" fontId="103" fillId="0" borderId="24" xfId="0" applyFont="1" applyBorder="1" applyAlignment="1">
      <alignment horizontal="center"/>
    </xf>
    <xf numFmtId="169" fontId="97" fillId="6" borderId="27" xfId="1" applyNumberFormat="1" applyFont="1" applyFill="1" applyBorder="1"/>
    <xf numFmtId="0" fontId="0" fillId="0" borderId="27" xfId="0" applyBorder="1"/>
    <xf numFmtId="0" fontId="95" fillId="0" borderId="27" xfId="0" applyFont="1" applyBorder="1"/>
    <xf numFmtId="0" fontId="0" fillId="0" borderId="31" xfId="0" applyBorder="1"/>
    <xf numFmtId="0" fontId="104" fillId="0" borderId="0" xfId="0" applyFont="1" applyAlignment="1">
      <alignment horizontal="center"/>
    </xf>
    <xf numFmtId="0" fontId="96" fillId="0" borderId="0" xfId="0" applyFont="1" applyFill="1" applyBorder="1"/>
    <xf numFmtId="6" fontId="96" fillId="0" borderId="0" xfId="1" applyNumberFormat="1" applyFont="1" applyFill="1" applyBorder="1"/>
    <xf numFmtId="6" fontId="96" fillId="0" borderId="0" xfId="0" applyNumberFormat="1" applyFont="1" applyFill="1" applyBorder="1"/>
    <xf numFmtId="0" fontId="99" fillId="0" borderId="0" xfId="0" applyFont="1" applyFill="1" applyBorder="1"/>
    <xf numFmtId="6" fontId="99" fillId="0" borderId="0" xfId="0" applyNumberFormat="1" applyFont="1" applyFill="1" applyBorder="1"/>
    <xf numFmtId="41" fontId="96" fillId="0" borderId="0" xfId="1" applyNumberFormat="1" applyFont="1"/>
    <xf numFmtId="9" fontId="97" fillId="6" borderId="0" xfId="2" applyFont="1" applyFill="1" applyBorder="1"/>
    <xf numFmtId="9" fontId="95" fillId="0" borderId="22" xfId="2" applyFont="1" applyBorder="1"/>
    <xf numFmtId="9" fontId="95" fillId="0" borderId="0" xfId="2" applyFont="1" applyBorder="1"/>
    <xf numFmtId="9" fontId="95" fillId="0" borderId="29" xfId="2" applyFont="1" applyBorder="1"/>
    <xf numFmtId="9" fontId="98" fillId="0" borderId="29" xfId="2" applyFont="1" applyBorder="1"/>
    <xf numFmtId="9" fontId="0" fillId="0" borderId="0" xfId="2" applyFont="1" applyBorder="1"/>
    <xf numFmtId="9" fontId="0" fillId="0" borderId="22" xfId="2" applyFont="1" applyBorder="1"/>
    <xf numFmtId="9" fontId="0" fillId="0" borderId="29" xfId="2" applyFont="1" applyBorder="1"/>
    <xf numFmtId="9" fontId="25" fillId="0" borderId="29" xfId="2" applyFont="1" applyBorder="1"/>
    <xf numFmtId="9" fontId="100" fillId="0" borderId="20" xfId="2" applyFont="1" applyBorder="1"/>
    <xf numFmtId="0" fontId="26" fillId="3" borderId="2" xfId="0" applyFont="1" applyFill="1" applyBorder="1" applyAlignment="1" applyProtection="1">
      <alignment horizontal="center" vertical="center" wrapText="1"/>
      <protection locked="0"/>
    </xf>
    <xf numFmtId="41" fontId="26" fillId="3" borderId="58" xfId="0" applyNumberFormat="1" applyFont="1" applyFill="1" applyBorder="1" applyAlignment="1" applyProtection="1">
      <alignment horizontal="center" vertical="center"/>
      <protection locked="0"/>
    </xf>
    <xf numFmtId="41" fontId="26" fillId="3" borderId="20" xfId="0" applyNumberFormat="1" applyFont="1" applyFill="1" applyBorder="1" applyAlignment="1" applyProtection="1">
      <alignment horizontal="center" vertical="center"/>
      <protection locked="0"/>
    </xf>
    <xf numFmtId="0" fontId="25" fillId="5" borderId="42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/>
    </xf>
    <xf numFmtId="43" fontId="45" fillId="13" borderId="21" xfId="14" applyNumberFormat="1" applyFont="1" applyFill="1" applyBorder="1" applyAlignment="1">
      <alignment horizontal="center" vertical="center"/>
    </xf>
    <xf numFmtId="43" fontId="45" fillId="13" borderId="22" xfId="14" applyNumberFormat="1" applyFont="1" applyFill="1" applyBorder="1" applyAlignment="1">
      <alignment horizontal="center" vertical="center"/>
    </xf>
    <xf numFmtId="43" fontId="45" fillId="13" borderId="23" xfId="14" applyNumberFormat="1" applyFont="1" applyFill="1" applyBorder="1" applyAlignment="1">
      <alignment horizontal="center" vertical="center"/>
    </xf>
    <xf numFmtId="14" fontId="48" fillId="13" borderId="28" xfId="14" applyNumberFormat="1" applyFont="1" applyFill="1" applyBorder="1" applyAlignment="1">
      <alignment horizontal="center" vertical="center"/>
    </xf>
    <xf numFmtId="14" fontId="48" fillId="13" borderId="29" xfId="14" applyNumberFormat="1" applyFont="1" applyFill="1" applyBorder="1" applyAlignment="1">
      <alignment horizontal="center" vertical="center"/>
    </xf>
    <xf numFmtId="14" fontId="48" fillId="13" borderId="30" xfId="14" applyNumberFormat="1" applyFont="1" applyFill="1" applyBorder="1" applyAlignment="1">
      <alignment horizontal="center" vertical="center"/>
    </xf>
    <xf numFmtId="9" fontId="66" fillId="18" borderId="4" xfId="0" applyNumberFormat="1" applyFont="1" applyFill="1" applyBorder="1" applyAlignment="1">
      <alignment horizontal="center" wrapText="1"/>
    </xf>
    <xf numFmtId="0" fontId="15" fillId="0" borderId="4" xfId="5" applyFont="1" applyBorder="1" applyAlignment="1">
      <alignment horizontal="center"/>
    </xf>
    <xf numFmtId="0" fontId="10" fillId="10" borderId="4" xfId="6" applyFont="1" applyFill="1" applyBorder="1" applyAlignment="1">
      <alignment horizontal="center"/>
    </xf>
    <xf numFmtId="9" fontId="10" fillId="0" borderId="8" xfId="7" applyFont="1" applyFill="1" applyBorder="1" applyAlignment="1">
      <alignment horizontal="center" vertical="center"/>
    </xf>
    <xf numFmtId="9" fontId="10" fillId="0" borderId="13" xfId="7" applyFont="1" applyFill="1" applyBorder="1" applyAlignment="1">
      <alignment horizontal="center" vertical="center"/>
    </xf>
    <xf numFmtId="9" fontId="10" fillId="0" borderId="16" xfId="7" applyFont="1" applyFill="1" applyBorder="1" applyAlignment="1">
      <alignment horizontal="center" vertical="center"/>
    </xf>
    <xf numFmtId="0" fontId="75" fillId="0" borderId="4" xfId="0" applyFont="1" applyBorder="1" applyAlignment="1">
      <alignment horizontal="center"/>
    </xf>
    <xf numFmtId="0" fontId="75" fillId="0" borderId="38" xfId="0" applyFont="1" applyBorder="1" applyAlignment="1">
      <alignment horizontal="center"/>
    </xf>
    <xf numFmtId="0" fontId="38" fillId="13" borderId="0" xfId="14" applyFont="1" applyFill="1" applyAlignment="1">
      <alignment horizontal="center" vertical="center"/>
    </xf>
    <xf numFmtId="0" fontId="31" fillId="17" borderId="0" xfId="14" applyFont="1" applyFill="1" applyBorder="1" applyAlignment="1">
      <alignment horizontal="center"/>
    </xf>
    <xf numFmtId="0" fontId="28" fillId="16" borderId="0" xfId="14" applyFont="1" applyFill="1" applyBorder="1" applyAlignment="1">
      <alignment horizontal="center" wrapText="1"/>
    </xf>
    <xf numFmtId="0" fontId="32" fillId="13" borderId="0" xfId="14" applyFont="1" applyFill="1" applyBorder="1" applyAlignment="1">
      <alignment horizontal="center"/>
    </xf>
    <xf numFmtId="168" fontId="26" fillId="14" borderId="0" xfId="15" applyNumberFormat="1" applyFont="1" applyFill="1" applyAlignment="1">
      <alignment horizontal="center" wrapText="1"/>
    </xf>
    <xf numFmtId="168" fontId="26" fillId="14" borderId="0" xfId="15" applyNumberFormat="1" applyFont="1" applyFill="1" applyAlignment="1">
      <alignment horizontal="center"/>
    </xf>
    <xf numFmtId="0" fontId="14" fillId="13" borderId="0" xfId="14" applyFont="1" applyFill="1" applyAlignment="1">
      <alignment horizontal="center" vertical="center"/>
    </xf>
    <xf numFmtId="0" fontId="14" fillId="0" borderId="0" xfId="14" applyFont="1" applyAlignment="1">
      <alignment horizontal="left"/>
    </xf>
    <xf numFmtId="168" fontId="0" fillId="13" borderId="4" xfId="15" applyNumberFormat="1" applyFont="1" applyFill="1" applyBorder="1" applyAlignment="1">
      <alignment horizontal="center"/>
    </xf>
    <xf numFmtId="168" fontId="26" fillId="15" borderId="0" xfId="15" applyNumberFormat="1" applyFont="1" applyFill="1" applyAlignment="1">
      <alignment horizontal="center" vertical="center" wrapText="1"/>
    </xf>
    <xf numFmtId="168" fontId="26" fillId="15" borderId="0" xfId="15" applyNumberFormat="1" applyFont="1" applyFill="1" applyAlignment="1">
      <alignment horizontal="center" vertical="center"/>
    </xf>
    <xf numFmtId="0" fontId="2" fillId="13" borderId="0" xfId="14" applyFill="1" applyAlignment="1">
      <alignment horizontal="right"/>
    </xf>
    <xf numFmtId="0" fontId="10" fillId="13" borderId="25" xfId="0" applyFont="1" applyFill="1" applyBorder="1" applyAlignment="1">
      <alignment horizontal="left" indent="10"/>
    </xf>
    <xf numFmtId="0" fontId="10" fillId="13" borderId="0" xfId="0" applyFont="1" applyFill="1" applyAlignment="1">
      <alignment horizontal="left" indent="10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8" fillId="12" borderId="25" xfId="0" applyFont="1" applyFill="1" applyBorder="1" applyAlignment="1">
      <alignment horizontal="left" indent="5"/>
    </xf>
    <xf numFmtId="0" fontId="10" fillId="12" borderId="0" xfId="0" applyFont="1" applyFill="1" applyAlignment="1">
      <alignment horizontal="left" indent="5"/>
    </xf>
    <xf numFmtId="0" fontId="57" fillId="13" borderId="25" xfId="0" applyFont="1" applyFill="1" applyBorder="1" applyAlignment="1">
      <alignment horizontal="left" indent="15"/>
    </xf>
    <xf numFmtId="0" fontId="57" fillId="13" borderId="0" xfId="0" applyFont="1" applyFill="1" applyAlignment="1">
      <alignment horizontal="left" indent="15"/>
    </xf>
    <xf numFmtId="0" fontId="58" fillId="3" borderId="25" xfId="0" applyFont="1" applyFill="1" applyBorder="1" applyAlignment="1">
      <alignment horizontal="left" indent="5"/>
    </xf>
    <xf numFmtId="0" fontId="10" fillId="3" borderId="0" xfId="0" applyFont="1" applyFill="1" applyAlignment="1">
      <alignment horizontal="left" indent="5"/>
    </xf>
    <xf numFmtId="0" fontId="57" fillId="13" borderId="25" xfId="0" applyFont="1" applyFill="1" applyBorder="1" applyAlignment="1">
      <alignment horizontal="left" indent="20"/>
    </xf>
    <xf numFmtId="0" fontId="57" fillId="13" borderId="0" xfId="0" applyFont="1" applyFill="1" applyAlignment="1">
      <alignment horizontal="left" indent="20"/>
    </xf>
    <xf numFmtId="0" fontId="57" fillId="13" borderId="51" xfId="0" applyFont="1" applyFill="1" applyBorder="1" applyAlignment="1">
      <alignment horizontal="left" indent="15"/>
    </xf>
  </cellXfs>
  <cellStyles count="19">
    <cellStyle name="Comma" xfId="1" builtinId="3"/>
    <cellStyle name="Comma 13 2 2" xfId="9" xr:uid="{00000000-0005-0000-0000-000001000000}"/>
    <cellStyle name="Comma 2" xfId="13" xr:uid="{00000000-0005-0000-0000-000002000000}"/>
    <cellStyle name="Comma 2 2" xfId="11" xr:uid="{00000000-0005-0000-0000-000003000000}"/>
    <cellStyle name="Comma 4 2" xfId="18" xr:uid="{6B6E36C8-2CAE-4865-BB38-AD560D34C3B3}"/>
    <cellStyle name="Currency" xfId="4" builtinId="4"/>
    <cellStyle name="Currency 15 2" xfId="10" xr:uid="{00000000-0005-0000-0000-000005000000}"/>
    <cellStyle name="Currency 2" xfId="15" xr:uid="{00000000-0005-0000-0000-000006000000}"/>
    <cellStyle name="Currency 42" xfId="12" xr:uid="{00000000-0005-0000-0000-000007000000}"/>
    <cellStyle name="Normal" xfId="0" builtinId="0"/>
    <cellStyle name="Normal 2" xfId="14" xr:uid="{00000000-0005-0000-0000-000009000000}"/>
    <cellStyle name="Normal 2 2" xfId="3" xr:uid="{00000000-0005-0000-0000-00000A000000}"/>
    <cellStyle name="Normal 28 2 2" xfId="6" xr:uid="{00000000-0005-0000-0000-00000B000000}"/>
    <cellStyle name="Normal 4 3" xfId="5" xr:uid="{00000000-0005-0000-0000-00000C000000}"/>
    <cellStyle name="Normal 6" xfId="17" xr:uid="{A5A66634-BA2C-4336-999C-8CA24B3BAA36}"/>
    <cellStyle name="Percent" xfId="2" builtinId="5"/>
    <cellStyle name="Percent 12 2" xfId="7" xr:uid="{00000000-0005-0000-0000-00000E000000}"/>
    <cellStyle name="Percent 2" xfId="16" xr:uid="{00000000-0005-0000-0000-00000F000000}"/>
    <cellStyle name="Percent 2 2 5" xfId="8" xr:uid="{00000000-0005-0000-0000-000010000000}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139700</xdr:colOff>
      <xdr:row>3</xdr:row>
      <xdr:rowOff>46914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DF60E8-8B1E-FE40-8838-DC749B7A5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660400" cy="631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24847</xdr:colOff>
      <xdr:row>0</xdr:row>
      <xdr:rowOff>1</xdr:rowOff>
    </xdr:from>
    <xdr:to>
      <xdr:col>1</xdr:col>
      <xdr:colOff>876300</xdr:colOff>
      <xdr:row>1</xdr:row>
      <xdr:rowOff>438151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47" y="1"/>
          <a:ext cx="851453" cy="9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139700</xdr:colOff>
      <xdr:row>2</xdr:row>
      <xdr:rowOff>186614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F92A67-D715-8540-BAC2-9CA73B80E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660400" cy="6311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1</xdr:row>
      <xdr:rowOff>0</xdr:rowOff>
    </xdr:from>
    <xdr:to>
      <xdr:col>1</xdr:col>
      <xdr:colOff>618068</xdr:colOff>
      <xdr:row>3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8F8112-895A-474B-AA10-0E58EE03B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1" y="215900"/>
          <a:ext cx="567267" cy="558800"/>
        </a:xfrm>
        <a:prstGeom prst="rect">
          <a:avLst/>
        </a:prstGeom>
      </xdr:spPr>
    </xdr:pic>
    <xdr:clientData/>
  </xdr:twoCellAnchor>
  <xdr:twoCellAnchor editAs="oneCell">
    <xdr:from>
      <xdr:col>6</xdr:col>
      <xdr:colOff>592667</xdr:colOff>
      <xdr:row>0</xdr:row>
      <xdr:rowOff>186266</xdr:rowOff>
    </xdr:from>
    <xdr:to>
      <xdr:col>6</xdr:col>
      <xdr:colOff>855134</xdr:colOff>
      <xdr:row>3</xdr:row>
      <xdr:rowOff>33866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D31177-B585-3447-A59C-2B90AAC18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3767" y="186266"/>
          <a:ext cx="414867" cy="55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1</xdr:row>
      <xdr:rowOff>0</xdr:rowOff>
    </xdr:from>
    <xdr:to>
      <xdr:col>1</xdr:col>
      <xdr:colOff>618068</xdr:colOff>
      <xdr:row>3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1BE6BE-2DFA-8D4D-B172-A1712427D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1" y="203200"/>
          <a:ext cx="567267" cy="558800"/>
        </a:xfrm>
        <a:prstGeom prst="rect">
          <a:avLst/>
        </a:prstGeom>
      </xdr:spPr>
    </xdr:pic>
    <xdr:clientData/>
  </xdr:twoCellAnchor>
  <xdr:twoCellAnchor editAs="oneCell">
    <xdr:from>
      <xdr:col>6</xdr:col>
      <xdr:colOff>592667</xdr:colOff>
      <xdr:row>0</xdr:row>
      <xdr:rowOff>186266</xdr:rowOff>
    </xdr:from>
    <xdr:to>
      <xdr:col>6</xdr:col>
      <xdr:colOff>702734</xdr:colOff>
      <xdr:row>4</xdr:row>
      <xdr:rowOff>8466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9C8DBB-1939-D644-A7DA-02B42C858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3767" y="186266"/>
          <a:ext cx="262467" cy="584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1</xdr:row>
      <xdr:rowOff>0</xdr:rowOff>
    </xdr:from>
    <xdr:to>
      <xdr:col>1</xdr:col>
      <xdr:colOff>618068</xdr:colOff>
      <xdr:row>4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4AE524-1728-D849-9E52-5C337BCFC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1" y="203200"/>
          <a:ext cx="567267" cy="711200"/>
        </a:xfrm>
        <a:prstGeom prst="rect">
          <a:avLst/>
        </a:prstGeom>
      </xdr:spPr>
    </xdr:pic>
    <xdr:clientData/>
  </xdr:twoCellAnchor>
  <xdr:twoCellAnchor editAs="oneCell">
    <xdr:from>
      <xdr:col>6</xdr:col>
      <xdr:colOff>592667</xdr:colOff>
      <xdr:row>0</xdr:row>
      <xdr:rowOff>186266</xdr:rowOff>
    </xdr:from>
    <xdr:to>
      <xdr:col>6</xdr:col>
      <xdr:colOff>677334</xdr:colOff>
      <xdr:row>5</xdr:row>
      <xdr:rowOff>8466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A98DEC-DB56-9546-B1D3-2DFFDACB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3767" y="186266"/>
          <a:ext cx="110067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D88CE-3470-C646-BC4D-1AB6349FC139}">
  <sheetPr>
    <tabColor rgb="FF00B050"/>
  </sheetPr>
  <dimension ref="B2:J67"/>
  <sheetViews>
    <sheetView showGridLines="0" zoomScaleNormal="100" workbookViewId="0">
      <selection activeCell="G43" sqref="G43"/>
    </sheetView>
  </sheetViews>
  <sheetFormatPr defaultColWidth="10.64453125" defaultRowHeight="14.35"/>
  <cols>
    <col min="1" max="1" width="3" customWidth="1"/>
    <col min="2" max="2" width="7.3515625" customWidth="1"/>
    <col min="3" max="3" width="28.1171875" bestFit="1" customWidth="1"/>
    <col min="4" max="4" width="16.8203125" bestFit="1" customWidth="1"/>
    <col min="5" max="5" width="16.3515625" style="784" customWidth="1"/>
    <col min="6" max="6" width="14.8203125" style="784" customWidth="1"/>
    <col min="7" max="7" width="63" customWidth="1"/>
    <col min="8" max="8" width="4.1171875" customWidth="1"/>
    <col min="9" max="9" width="21.8203125" bestFit="1" customWidth="1"/>
    <col min="10" max="10" width="12.64453125" bestFit="1" customWidth="1"/>
  </cols>
  <sheetData>
    <row r="2" spans="2:10">
      <c r="D2" s="842" t="s">
        <v>1025</v>
      </c>
      <c r="E2" s="843" t="s">
        <v>919</v>
      </c>
      <c r="F2" s="838" t="s">
        <v>1024</v>
      </c>
    </row>
    <row r="3" spans="2:10" ht="14.7" thickBot="1">
      <c r="D3" s="842" t="s">
        <v>1037</v>
      </c>
      <c r="E3" s="842" t="s">
        <v>1037</v>
      </c>
    </row>
    <row r="4" spans="2:10" ht="23.35">
      <c r="B4" s="816"/>
      <c r="C4" s="817" t="s">
        <v>970</v>
      </c>
      <c r="D4" s="818">
        <f>'Budget Detail'!D53</f>
        <v>3138617.8000000003</v>
      </c>
      <c r="E4" s="827">
        <f>'Budget Detail'!G53</f>
        <v>3026229.8000000003</v>
      </c>
      <c r="F4" s="818">
        <f>E4-D4</f>
        <v>-112388</v>
      </c>
      <c r="G4" s="816" t="s">
        <v>1038</v>
      </c>
      <c r="I4" s="799" t="s">
        <v>970</v>
      </c>
      <c r="J4" s="819">
        <f>'Budget Detail'!G12</f>
        <v>3026229.8000000003</v>
      </c>
    </row>
    <row r="5" spans="2:10" ht="18">
      <c r="E5" s="828"/>
      <c r="I5" s="799" t="s">
        <v>30</v>
      </c>
      <c r="J5" s="819">
        <f>'Budget Detail'!G13</f>
        <v>3548928.4783039754</v>
      </c>
    </row>
    <row r="6" spans="2:10" ht="21" thickBot="1">
      <c r="B6" s="813" t="s">
        <v>983</v>
      </c>
      <c r="C6" s="797"/>
      <c r="D6" s="797"/>
      <c r="E6" s="829"/>
      <c r="F6" s="798"/>
      <c r="I6" s="823" t="s">
        <v>1015</v>
      </c>
      <c r="J6" s="824">
        <f>'Budget Detail'!G14</f>
        <v>-522698.67830397515</v>
      </c>
    </row>
    <row r="7" spans="2:10" ht="18">
      <c r="B7" s="800"/>
      <c r="C7" s="801" t="s">
        <v>971</v>
      </c>
      <c r="D7" s="802">
        <f>'Budget Detail'!D111</f>
        <v>1474670.8877692306</v>
      </c>
      <c r="E7" s="830">
        <f>'Budget Detail'!G111</f>
        <v>1277346.1220450001</v>
      </c>
      <c r="F7" s="802">
        <f>E7-D7</f>
        <v>-197324.76572423056</v>
      </c>
      <c r="G7" s="789" t="s">
        <v>1027</v>
      </c>
      <c r="I7" s="799" t="s">
        <v>1016</v>
      </c>
      <c r="J7" s="819">
        <f>'Budget Detail'!G15</f>
        <v>73717.45795500034</v>
      </c>
    </row>
    <row r="8" spans="2:10" ht="18">
      <c r="B8" s="803"/>
      <c r="C8" s="804" t="s">
        <v>972</v>
      </c>
      <c r="D8" s="805">
        <f>'Budget Detail'!D221</f>
        <v>526000</v>
      </c>
      <c r="E8" s="829">
        <f>'Budget Detail'!G221</f>
        <v>526000</v>
      </c>
      <c r="F8" s="805">
        <f t="shared" ref="F8:F16" si="0">E8-D8</f>
        <v>0</v>
      </c>
      <c r="G8" s="791"/>
      <c r="I8" s="799"/>
      <c r="J8" s="799"/>
    </row>
    <row r="9" spans="2:10" ht="18">
      <c r="B9" s="803"/>
      <c r="C9" s="804" t="s">
        <v>973</v>
      </c>
      <c r="D9" s="805">
        <f>'Budget Detail'!D222+'Budget Detail'!D223+'Budget Detail'!D224+'Budget Detail'!D225</f>
        <v>153400</v>
      </c>
      <c r="E9" s="829">
        <f>'Budget Detail'!G222+'Budget Detail'!G223+'Budget Detail'!G224+'Budget Detail'!G225</f>
        <v>168072</v>
      </c>
      <c r="F9" s="805">
        <f t="shared" si="0"/>
        <v>14672</v>
      </c>
      <c r="G9" s="791" t="s">
        <v>1028</v>
      </c>
      <c r="I9" s="799"/>
      <c r="J9" s="799"/>
    </row>
    <row r="10" spans="2:10" ht="18">
      <c r="B10" s="803"/>
      <c r="C10" s="804" t="s">
        <v>542</v>
      </c>
      <c r="D10" s="805">
        <f>'Budget Detail'!D259</f>
        <v>20000</v>
      </c>
      <c r="E10" s="829">
        <f>'Budget Detail'!G259</f>
        <v>20000</v>
      </c>
      <c r="F10" s="805">
        <f t="shared" si="0"/>
        <v>0</v>
      </c>
      <c r="G10" s="791"/>
      <c r="I10" s="799" t="s">
        <v>1018</v>
      </c>
      <c r="J10" s="819">
        <f>157804.95+500.19</f>
        <v>158305.14000000001</v>
      </c>
    </row>
    <row r="11" spans="2:10" ht="18">
      <c r="B11" s="803"/>
      <c r="C11" s="804" t="s">
        <v>978</v>
      </c>
      <c r="D11" s="805">
        <f>'Budget Detail'!D172</f>
        <v>82800</v>
      </c>
      <c r="E11" s="829">
        <f>'Budget Detail'!G172</f>
        <v>82800</v>
      </c>
      <c r="F11" s="805">
        <f t="shared" si="0"/>
        <v>0</v>
      </c>
      <c r="G11" s="791"/>
      <c r="I11" s="799" t="s">
        <v>1016</v>
      </c>
      <c r="J11" s="820">
        <f>J7</f>
        <v>73717.45795500034</v>
      </c>
    </row>
    <row r="12" spans="2:10" ht="18">
      <c r="B12" s="803"/>
      <c r="C12" s="804" t="s">
        <v>974</v>
      </c>
      <c r="D12" s="805">
        <f>'Budget Detail'!D217</f>
        <v>30531.66</v>
      </c>
      <c r="E12" s="829">
        <f>'Budget Detail'!G217</f>
        <v>39471</v>
      </c>
      <c r="F12" s="805">
        <f t="shared" si="0"/>
        <v>8939.34</v>
      </c>
      <c r="G12" s="791" t="s">
        <v>1029</v>
      </c>
      <c r="I12" s="821" t="s">
        <v>1019</v>
      </c>
      <c r="J12" s="822">
        <f>J10+J11</f>
        <v>232022.59795500035</v>
      </c>
    </row>
    <row r="13" spans="2:10" ht="15.7">
      <c r="B13" s="803"/>
      <c r="C13" s="804" t="s">
        <v>976</v>
      </c>
      <c r="D13" s="805">
        <f>'Budget Detail'!D187</f>
        <v>21100</v>
      </c>
      <c r="E13" s="829">
        <f>'Budget Detail'!G187</f>
        <v>27740</v>
      </c>
      <c r="F13" s="805">
        <f t="shared" si="0"/>
        <v>6640</v>
      </c>
      <c r="G13" s="791" t="s">
        <v>1030</v>
      </c>
    </row>
    <row r="14" spans="2:10" ht="15.7">
      <c r="B14" s="803"/>
      <c r="C14" s="804" t="s">
        <v>982</v>
      </c>
      <c r="D14" s="805">
        <f>'Budget Detail'!D165</f>
        <v>8492</v>
      </c>
      <c r="E14" s="829">
        <f>'Budget Detail'!G165</f>
        <v>8492</v>
      </c>
      <c r="F14" s="805">
        <f t="shared" si="0"/>
        <v>0</v>
      </c>
      <c r="G14" s="791"/>
    </row>
    <row r="15" spans="2:10" ht="16" thickBot="1">
      <c r="B15" s="806"/>
      <c r="C15" s="807" t="s">
        <v>975</v>
      </c>
      <c r="D15" s="808">
        <f>'Budget Detail'!D201</f>
        <v>0</v>
      </c>
      <c r="E15" s="831">
        <f>'Budget Detail'!G201</f>
        <v>8000</v>
      </c>
      <c r="F15" s="808">
        <f t="shared" si="0"/>
        <v>8000</v>
      </c>
      <c r="G15" s="795"/>
    </row>
    <row r="16" spans="2:10" ht="16" thickBot="1">
      <c r="B16" s="826">
        <f>E16/$B$64</f>
        <v>0.73087624099493465</v>
      </c>
      <c r="C16" s="807"/>
      <c r="D16" s="809">
        <f t="shared" ref="D16" si="1">SUM(D7:D15)</f>
        <v>2316994.5477692308</v>
      </c>
      <c r="E16" s="832">
        <f>SUM(E7:E15)</f>
        <v>2157921.1220450001</v>
      </c>
      <c r="F16" s="809">
        <f t="shared" si="0"/>
        <v>-159073.42572423071</v>
      </c>
      <c r="G16" s="795"/>
    </row>
    <row r="17" spans="2:7" ht="15.7">
      <c r="B17" s="804"/>
      <c r="C17" s="804"/>
      <c r="D17" s="804"/>
      <c r="E17" s="839">
        <f>E16/12</f>
        <v>179826.76017041667</v>
      </c>
      <c r="F17" s="840"/>
      <c r="G17" s="841" t="s">
        <v>1022</v>
      </c>
    </row>
    <row r="18" spans="2:7" ht="21" thickBot="1">
      <c r="B18" s="813" t="s">
        <v>984</v>
      </c>
      <c r="C18" s="797"/>
      <c r="D18" s="797"/>
      <c r="E18" s="829"/>
      <c r="F18" s="798"/>
    </row>
    <row r="19" spans="2:7" ht="15.7">
      <c r="B19" s="800"/>
      <c r="C19" s="801" t="s">
        <v>980</v>
      </c>
      <c r="D19" s="802">
        <f>'Budget Detail'!D140</f>
        <v>44547.6</v>
      </c>
      <c r="E19" s="830">
        <f>'Budget Detail'!G140</f>
        <v>44547.6</v>
      </c>
      <c r="F19" s="802">
        <f t="shared" ref="F19:F23" si="2">E19-D19</f>
        <v>0</v>
      </c>
      <c r="G19" s="789"/>
    </row>
    <row r="20" spans="2:7" ht="15.7">
      <c r="B20" s="803"/>
      <c r="C20" s="804" t="s">
        <v>979</v>
      </c>
      <c r="D20" s="805">
        <f>'Budget Detail'!D149</f>
        <v>55990</v>
      </c>
      <c r="E20" s="829">
        <f>'Budget Detail'!G149</f>
        <v>43990</v>
      </c>
      <c r="F20" s="805">
        <f t="shared" si="2"/>
        <v>-12000</v>
      </c>
      <c r="G20" s="791" t="s">
        <v>1031</v>
      </c>
    </row>
    <row r="21" spans="2:7" ht="15.7">
      <c r="B21" s="803"/>
      <c r="C21" s="804" t="s">
        <v>977</v>
      </c>
      <c r="D21" s="805">
        <f>'Budget Detail'!D175</f>
        <v>34000</v>
      </c>
      <c r="E21" s="829">
        <f>'Budget Detail'!G175</f>
        <v>34000</v>
      </c>
      <c r="F21" s="805">
        <f t="shared" si="2"/>
        <v>0</v>
      </c>
      <c r="G21" s="791"/>
    </row>
    <row r="22" spans="2:7" ht="16" thickBot="1">
      <c r="B22" s="806"/>
      <c r="C22" s="807" t="s">
        <v>981</v>
      </c>
      <c r="D22" s="808">
        <f>'Budget Detail'!D143</f>
        <v>2400</v>
      </c>
      <c r="E22" s="831">
        <f>'Budget Detail'!G143</f>
        <v>2400</v>
      </c>
      <c r="F22" s="808">
        <f t="shared" si="2"/>
        <v>0</v>
      </c>
      <c r="G22" s="795"/>
    </row>
    <row r="23" spans="2:7" ht="16" thickBot="1">
      <c r="B23" s="826">
        <f>E23/$B$64</f>
        <v>4.2315691020435982E-2</v>
      </c>
      <c r="C23" s="807"/>
      <c r="D23" s="809">
        <f t="shared" ref="D23" si="3">SUM(D19:D22)</f>
        <v>136937.60000000001</v>
      </c>
      <c r="E23" s="832">
        <f>SUM(E19:E22)</f>
        <v>124937.60000000001</v>
      </c>
      <c r="F23" s="809">
        <f t="shared" si="2"/>
        <v>-12000</v>
      </c>
      <c r="G23" s="795"/>
    </row>
    <row r="24" spans="2:7" ht="15.7">
      <c r="B24" s="804"/>
      <c r="C24" s="804"/>
      <c r="D24" s="804"/>
      <c r="E24" s="833"/>
      <c r="F24" s="810"/>
      <c r="G24" s="273"/>
    </row>
    <row r="25" spans="2:7" ht="21" thickBot="1">
      <c r="B25" s="813" t="s">
        <v>985</v>
      </c>
      <c r="C25" s="797"/>
      <c r="D25" s="797"/>
      <c r="E25" s="829"/>
      <c r="F25" s="798"/>
    </row>
    <row r="26" spans="2:7" ht="15.7">
      <c r="B26" s="800"/>
      <c r="C26" s="801" t="s">
        <v>989</v>
      </c>
      <c r="D26" s="802">
        <f>'Budget Detail'!D192</f>
        <v>31000</v>
      </c>
      <c r="E26" s="830">
        <f>'Budget Detail'!G192</f>
        <v>31000</v>
      </c>
      <c r="F26" s="802">
        <f t="shared" ref="F26:F34" si="4">E26-D26</f>
        <v>0</v>
      </c>
      <c r="G26" s="789"/>
    </row>
    <row r="27" spans="2:7" ht="15.7">
      <c r="B27" s="803"/>
      <c r="C27" s="804" t="s">
        <v>987</v>
      </c>
      <c r="D27" s="805">
        <f>'Budget Detail'!D161</f>
        <v>23312</v>
      </c>
      <c r="E27" s="829">
        <f>'Budget Detail'!G161</f>
        <v>23312</v>
      </c>
      <c r="F27" s="805">
        <f t="shared" si="4"/>
        <v>0</v>
      </c>
      <c r="G27" s="791"/>
    </row>
    <row r="28" spans="2:7" ht="15.7">
      <c r="B28" s="803"/>
      <c r="C28" s="804" t="s">
        <v>991</v>
      </c>
      <c r="D28" s="805">
        <f>'Budget Detail'!D198</f>
        <v>15000</v>
      </c>
      <c r="E28" s="829">
        <f>'Budget Detail'!G198</f>
        <v>18060</v>
      </c>
      <c r="F28" s="805">
        <f t="shared" si="4"/>
        <v>3060</v>
      </c>
      <c r="G28" s="791" t="s">
        <v>1044</v>
      </c>
    </row>
    <row r="29" spans="2:7" ht="15.7">
      <c r="B29" s="803"/>
      <c r="C29" s="804" t="s">
        <v>986</v>
      </c>
      <c r="D29" s="805">
        <f>'Budget Detail'!D154+'Budget Detail'!D215</f>
        <v>14700</v>
      </c>
      <c r="E29" s="829">
        <f>'Budget Detail'!G154+'Budget Detail'!G215</f>
        <v>14700</v>
      </c>
      <c r="F29" s="805">
        <f t="shared" si="4"/>
        <v>0</v>
      </c>
      <c r="G29" s="791"/>
    </row>
    <row r="30" spans="2:7" ht="15.7">
      <c r="B30" s="803"/>
      <c r="C30" s="804" t="s">
        <v>988</v>
      </c>
      <c r="D30" s="805">
        <f>'Budget Detail'!D179+'Budget Detail'!D183</f>
        <v>7500</v>
      </c>
      <c r="E30" s="829">
        <f>'Budget Detail'!G179+'Budget Detail'!G183</f>
        <v>8000</v>
      </c>
      <c r="F30" s="805">
        <f t="shared" si="4"/>
        <v>500</v>
      </c>
      <c r="G30" s="791" t="s">
        <v>1032</v>
      </c>
    </row>
    <row r="31" spans="2:7" ht="15.7">
      <c r="B31" s="803"/>
      <c r="C31" s="804" t="s">
        <v>992</v>
      </c>
      <c r="D31" s="805">
        <f>'Budget Detail'!D205</f>
        <v>5500</v>
      </c>
      <c r="E31" s="829">
        <f>'Budget Detail'!G205</f>
        <v>5500</v>
      </c>
      <c r="F31" s="805">
        <f t="shared" si="4"/>
        <v>0</v>
      </c>
      <c r="G31" s="791"/>
    </row>
    <row r="32" spans="2:7" ht="15.7">
      <c r="B32" s="803"/>
      <c r="C32" s="804" t="s">
        <v>993</v>
      </c>
      <c r="D32" s="805">
        <f>'Budget Detail'!D208</f>
        <v>4000</v>
      </c>
      <c r="E32" s="829">
        <f>'Budget Detail'!G208</f>
        <v>4000</v>
      </c>
      <c r="F32" s="805">
        <f t="shared" si="4"/>
        <v>0</v>
      </c>
      <c r="G32" s="791"/>
    </row>
    <row r="33" spans="2:8" ht="16" thickBot="1">
      <c r="B33" s="806"/>
      <c r="C33" s="807" t="s">
        <v>990</v>
      </c>
      <c r="D33" s="808">
        <f>'Budget Detail'!D195</f>
        <v>6000</v>
      </c>
      <c r="E33" s="831">
        <f>'Budget Detail'!G195</f>
        <v>3000</v>
      </c>
      <c r="F33" s="808">
        <f t="shared" si="4"/>
        <v>-3000</v>
      </c>
      <c r="G33" s="795" t="s">
        <v>1033</v>
      </c>
    </row>
    <row r="34" spans="2:8" ht="16" thickBot="1">
      <c r="B34" s="826">
        <f>E34/$B$64</f>
        <v>3.6434055996356095E-2</v>
      </c>
      <c r="C34" s="807"/>
      <c r="D34" s="809">
        <f t="shared" ref="D34" si="5">SUM(D26:D33)</f>
        <v>107012</v>
      </c>
      <c r="E34" s="832">
        <f>SUM(E26:E33)</f>
        <v>107572</v>
      </c>
      <c r="F34" s="809">
        <f t="shared" si="4"/>
        <v>560</v>
      </c>
      <c r="G34" s="795"/>
    </row>
    <row r="35" spans="2:8" ht="15.7">
      <c r="B35" s="804"/>
      <c r="C35" s="804"/>
      <c r="D35" s="804"/>
      <c r="E35" s="829"/>
      <c r="F35" s="805"/>
      <c r="G35" s="273"/>
    </row>
    <row r="36" spans="2:8" ht="21" thickBot="1">
      <c r="B36" s="813" t="s">
        <v>994</v>
      </c>
      <c r="C36" s="797"/>
      <c r="D36" s="797"/>
      <c r="E36" s="829"/>
      <c r="F36" s="798"/>
    </row>
    <row r="37" spans="2:8" ht="15.7">
      <c r="B37" s="800"/>
      <c r="C37" s="801" t="s">
        <v>1021</v>
      </c>
      <c r="D37" s="802">
        <f>'Budget Detail'!D115</f>
        <v>109530</v>
      </c>
      <c r="E37" s="830">
        <f>'Budget Detail'!G115</f>
        <v>70000</v>
      </c>
      <c r="F37" s="802">
        <f t="shared" ref="F37:F46" si="6">E37-D37</f>
        <v>-39530</v>
      </c>
      <c r="G37" s="789" t="s">
        <v>1034</v>
      </c>
    </row>
    <row r="38" spans="2:8" ht="15.7">
      <c r="B38" s="803"/>
      <c r="C38" s="804" t="s">
        <v>1020</v>
      </c>
      <c r="D38" s="805">
        <f>'Budget Detail'!D114</f>
        <v>20160</v>
      </c>
      <c r="E38" s="829">
        <f>'Budget Detail'!G114</f>
        <v>26460</v>
      </c>
      <c r="F38" s="805">
        <f t="shared" si="6"/>
        <v>6300</v>
      </c>
      <c r="G38" s="791" t="s">
        <v>1035</v>
      </c>
    </row>
    <row r="39" spans="2:8" ht="15.7">
      <c r="B39" s="803"/>
      <c r="C39" s="804" t="s">
        <v>995</v>
      </c>
      <c r="D39" s="805">
        <f>'Budget Detail'!D113</f>
        <v>23000</v>
      </c>
      <c r="E39" s="829">
        <f>'Budget Detail'!G113</f>
        <v>23000</v>
      </c>
      <c r="F39" s="805">
        <f t="shared" si="6"/>
        <v>0</v>
      </c>
      <c r="G39" s="791"/>
    </row>
    <row r="40" spans="2:8" ht="15.7">
      <c r="B40" s="803"/>
      <c r="C40" s="804" t="s">
        <v>1026</v>
      </c>
      <c r="D40" s="805">
        <f>'Budget Detail'!D126</f>
        <v>103000</v>
      </c>
      <c r="E40" s="829">
        <f>'Budget Detail'!G126</f>
        <v>5380</v>
      </c>
      <c r="F40" s="805">
        <f t="shared" si="6"/>
        <v>-97620</v>
      </c>
      <c r="G40" s="791" t="s">
        <v>1045</v>
      </c>
    </row>
    <row r="41" spans="2:8" ht="15.7">
      <c r="B41" s="803"/>
      <c r="C41" s="804" t="s">
        <v>996</v>
      </c>
      <c r="D41" s="805">
        <f>'Budget Detail'!D116</f>
        <v>10000</v>
      </c>
      <c r="E41" s="829">
        <f>'Budget Detail'!G116</f>
        <v>10000</v>
      </c>
      <c r="F41" s="805">
        <f t="shared" si="6"/>
        <v>0</v>
      </c>
      <c r="G41" s="791"/>
    </row>
    <row r="42" spans="2:8" ht="15.7">
      <c r="B42" s="803"/>
      <c r="C42" s="804" t="s">
        <v>1017</v>
      </c>
      <c r="D42" s="805">
        <f>'Budget Detail'!D119+'Budget Detail'!D120</f>
        <v>16500</v>
      </c>
      <c r="E42" s="829">
        <f>'Budget Detail'!G119+'Budget Detail'!G120</f>
        <v>16500</v>
      </c>
      <c r="F42" s="805">
        <f t="shared" si="6"/>
        <v>0</v>
      </c>
      <c r="G42" s="791"/>
    </row>
    <row r="43" spans="2:8" ht="15.7">
      <c r="B43" s="803"/>
      <c r="C43" s="804" t="s">
        <v>1000</v>
      </c>
      <c r="D43" s="805">
        <f>'Budget Detail'!D131</f>
        <v>3500</v>
      </c>
      <c r="E43" s="829">
        <f>'Budget Detail'!G131</f>
        <v>8500</v>
      </c>
      <c r="F43" s="805">
        <f t="shared" si="6"/>
        <v>5000</v>
      </c>
      <c r="G43" s="791" t="s">
        <v>1036</v>
      </c>
    </row>
    <row r="44" spans="2:8" ht="15.7">
      <c r="B44" s="803"/>
      <c r="C44" s="804" t="s">
        <v>998</v>
      </c>
      <c r="D44" s="805">
        <f>'Budget Detail'!D124</f>
        <v>4500</v>
      </c>
      <c r="E44" s="829">
        <f>'Budget Detail'!G124</f>
        <v>4500</v>
      </c>
      <c r="F44" s="805">
        <f t="shared" si="6"/>
        <v>0</v>
      </c>
      <c r="G44" s="791"/>
    </row>
    <row r="45" spans="2:8" ht="16" thickBot="1">
      <c r="B45" s="806"/>
      <c r="C45" s="807" t="s">
        <v>999</v>
      </c>
      <c r="D45" s="808">
        <f>'Budget Detail'!D125</f>
        <v>2500</v>
      </c>
      <c r="E45" s="831">
        <f>'Budget Detail'!G125</f>
        <v>2500</v>
      </c>
      <c r="F45" s="808">
        <f t="shared" si="6"/>
        <v>0</v>
      </c>
      <c r="G45" s="795"/>
    </row>
    <row r="46" spans="2:8" ht="16" thickBot="1">
      <c r="B46" s="826">
        <f>E46/$B$64</f>
        <v>5.6507807816458283E-2</v>
      </c>
      <c r="C46" s="807"/>
      <c r="D46" s="809">
        <f>SUM(D37:D45)</f>
        <v>292690</v>
      </c>
      <c r="E46" s="832">
        <f>SUM(E37:E45)</f>
        <v>166840</v>
      </c>
      <c r="F46" s="809">
        <f t="shared" si="6"/>
        <v>-125850</v>
      </c>
      <c r="G46" s="795"/>
    </row>
    <row r="47" spans="2:8">
      <c r="E47" s="828"/>
      <c r="H47" s="812"/>
    </row>
    <row r="48" spans="2:8" ht="21" thickBot="1">
      <c r="B48" s="813" t="s">
        <v>1001</v>
      </c>
      <c r="E48" s="828"/>
      <c r="H48" s="812"/>
    </row>
    <row r="49" spans="2:7">
      <c r="B49" s="786"/>
      <c r="C49" s="787" t="s">
        <v>1004</v>
      </c>
      <c r="D49" s="788">
        <f>'Budget Detail'!D239</f>
        <v>35000</v>
      </c>
      <c r="E49" s="834">
        <f>'Budget Detail'!G239</f>
        <v>134875.97</v>
      </c>
      <c r="F49" s="788">
        <f t="shared" ref="F49:F61" si="7">E49-D49</f>
        <v>99875.97</v>
      </c>
      <c r="G49" s="789" t="s">
        <v>1041</v>
      </c>
    </row>
    <row r="50" spans="2:7">
      <c r="B50" s="790"/>
      <c r="C50" s="273" t="s">
        <v>1013</v>
      </c>
      <c r="D50" s="785">
        <f>'Budget Detail'!D252</f>
        <v>0</v>
      </c>
      <c r="E50" s="828">
        <f>'Budget Detail'!G252</f>
        <v>108000</v>
      </c>
      <c r="F50" s="785">
        <f t="shared" si="7"/>
        <v>108000</v>
      </c>
      <c r="G50" s="791" t="s">
        <v>953</v>
      </c>
    </row>
    <row r="51" spans="2:7">
      <c r="B51" s="790"/>
      <c r="C51" s="273" t="s">
        <v>1006</v>
      </c>
      <c r="D51" s="785">
        <f>'Budget Detail'!D241</f>
        <v>8040</v>
      </c>
      <c r="E51" s="828">
        <f>'Budget Detail'!G241</f>
        <v>26219.15</v>
      </c>
      <c r="F51" s="785">
        <f t="shared" si="7"/>
        <v>18179.150000000001</v>
      </c>
      <c r="G51" s="791" t="s">
        <v>1040</v>
      </c>
    </row>
    <row r="52" spans="2:7">
      <c r="B52" s="790"/>
      <c r="C52" s="273" t="s">
        <v>1008</v>
      </c>
      <c r="D52" s="785">
        <f>'Budget Detail'!D243</f>
        <v>0</v>
      </c>
      <c r="E52" s="828">
        <f>'Budget Detail'!G243</f>
        <v>26000</v>
      </c>
      <c r="F52" s="785">
        <f t="shared" si="7"/>
        <v>26000</v>
      </c>
      <c r="G52" s="791" t="s">
        <v>949</v>
      </c>
    </row>
    <row r="53" spans="2:7">
      <c r="B53" s="790"/>
      <c r="C53" s="273" t="s">
        <v>1014</v>
      </c>
      <c r="D53" s="785">
        <f>'Budget Detail'!D253</f>
        <v>10000</v>
      </c>
      <c r="E53" s="828">
        <f>'Budget Detail'!G253</f>
        <v>25000</v>
      </c>
      <c r="F53" s="785">
        <f t="shared" si="7"/>
        <v>15000</v>
      </c>
      <c r="G53" s="791" t="s">
        <v>954</v>
      </c>
    </row>
    <row r="54" spans="2:7">
      <c r="B54" s="790"/>
      <c r="C54" s="273" t="s">
        <v>1010</v>
      </c>
      <c r="D54" s="785">
        <f>'Budget Detail'!D247</f>
        <v>0</v>
      </c>
      <c r="E54" s="828">
        <f>'Budget Detail'!G247</f>
        <v>20025</v>
      </c>
      <c r="F54" s="785">
        <f t="shared" si="7"/>
        <v>20025</v>
      </c>
      <c r="G54" s="791" t="s">
        <v>1039</v>
      </c>
    </row>
    <row r="55" spans="2:7">
      <c r="B55" s="790"/>
      <c r="C55" s="273" t="s">
        <v>1009</v>
      </c>
      <c r="D55" s="785">
        <f>'Budget Detail'!D244</f>
        <v>0</v>
      </c>
      <c r="E55" s="828">
        <f>'Budget Detail'!G244</f>
        <v>17245</v>
      </c>
      <c r="F55" s="785">
        <f t="shared" si="7"/>
        <v>17245</v>
      </c>
      <c r="G55" s="791" t="s">
        <v>921</v>
      </c>
    </row>
    <row r="56" spans="2:7">
      <c r="B56" s="790"/>
      <c r="C56" s="273" t="s">
        <v>1011</v>
      </c>
      <c r="D56" s="785">
        <f>'Budget Detail'!D248</f>
        <v>0</v>
      </c>
      <c r="E56" s="828">
        <f>'Budget Detail'!G248</f>
        <v>13738</v>
      </c>
      <c r="F56" s="785">
        <f t="shared" si="7"/>
        <v>13738</v>
      </c>
      <c r="G56" s="791" t="s">
        <v>733</v>
      </c>
    </row>
    <row r="57" spans="2:7">
      <c r="B57" s="790"/>
      <c r="C57" s="273" t="s">
        <v>1005</v>
      </c>
      <c r="D57" s="785">
        <f>'Budget Detail'!D240</f>
        <v>8000</v>
      </c>
      <c r="E57" s="828">
        <f>'Budget Detail'!G240</f>
        <v>9522.5</v>
      </c>
      <c r="F57" s="785">
        <f t="shared" si="7"/>
        <v>1522.5</v>
      </c>
      <c r="G57" s="791" t="s">
        <v>947</v>
      </c>
    </row>
    <row r="58" spans="2:7">
      <c r="B58" s="790"/>
      <c r="C58" s="273" t="s">
        <v>1003</v>
      </c>
      <c r="D58" s="785">
        <f>'Budget Detail'!D238</f>
        <v>11000</v>
      </c>
      <c r="E58" s="828">
        <f>'Budget Detail'!G238</f>
        <v>5545</v>
      </c>
      <c r="F58" s="785">
        <f t="shared" si="7"/>
        <v>-5455</v>
      </c>
      <c r="G58" s="791" t="s">
        <v>729</v>
      </c>
    </row>
    <row r="59" spans="2:7">
      <c r="B59" s="790"/>
      <c r="C59" s="273" t="s">
        <v>1012</v>
      </c>
      <c r="D59" s="785">
        <f>'Budget Detail'!D251</f>
        <v>0</v>
      </c>
      <c r="E59" s="828">
        <f>'Budget Detail'!G251</f>
        <v>4000</v>
      </c>
      <c r="F59" s="785">
        <f t="shared" si="7"/>
        <v>4000</v>
      </c>
      <c r="G59" s="791" t="s">
        <v>951</v>
      </c>
    </row>
    <row r="60" spans="2:7">
      <c r="B60" s="790"/>
      <c r="C60" s="273" t="s">
        <v>1002</v>
      </c>
      <c r="D60" s="785">
        <f>'Budget Detail'!D237</f>
        <v>8000</v>
      </c>
      <c r="E60" s="828">
        <f>'Budget Detail'!G237</f>
        <v>3083.5</v>
      </c>
      <c r="F60" s="785">
        <f t="shared" si="7"/>
        <v>-4916.5</v>
      </c>
      <c r="G60" s="791" t="s">
        <v>726</v>
      </c>
    </row>
    <row r="61" spans="2:7">
      <c r="B61" s="790"/>
      <c r="C61" s="273" t="s">
        <v>1007</v>
      </c>
      <c r="D61" s="785">
        <f>'Budget Detail'!D242</f>
        <v>0</v>
      </c>
      <c r="E61" s="828">
        <f>'Budget Detail'!G242</f>
        <v>1987.5</v>
      </c>
      <c r="F61" s="785">
        <f t="shared" si="7"/>
        <v>1987.5</v>
      </c>
      <c r="G61" s="791" t="s">
        <v>727</v>
      </c>
    </row>
    <row r="62" spans="2:7" ht="14.7" thickBot="1">
      <c r="B62" s="792"/>
      <c r="C62" s="793" t="s">
        <v>1023</v>
      </c>
      <c r="D62" s="794">
        <f>'Budget Detail'!D236</f>
        <v>4000</v>
      </c>
      <c r="E62" s="835"/>
      <c r="F62" s="794">
        <f t="shared" ref="F62:F63" si="8">E62-D62</f>
        <v>-4000</v>
      </c>
      <c r="G62" s="795"/>
    </row>
    <row r="63" spans="2:7" ht="16" thickBot="1">
      <c r="B63" s="826">
        <f>E63/$B$64</f>
        <v>0.13386620417181513</v>
      </c>
      <c r="C63" s="793"/>
      <c r="D63" s="796">
        <f>SUM(D49:D62)</f>
        <v>84040</v>
      </c>
      <c r="E63" s="836">
        <f>SUM(E49:E61)</f>
        <v>395241.62</v>
      </c>
      <c r="F63" s="796">
        <f t="shared" si="8"/>
        <v>311201.62</v>
      </c>
      <c r="G63" s="795"/>
    </row>
    <row r="64" spans="2:7">
      <c r="B64" s="825">
        <f>E63+E46+E34+E23+E16</f>
        <v>2952512.3420449998</v>
      </c>
      <c r="E64" s="828"/>
    </row>
    <row r="65" spans="3:6">
      <c r="E65" s="828"/>
    </row>
    <row r="66" spans="3:6" ht="21" thickBot="1">
      <c r="C66" s="814" t="s">
        <v>467</v>
      </c>
      <c r="D66" s="815">
        <f>D4-D16-D23-D34-D46-D63</f>
        <v>200943.65223076951</v>
      </c>
      <c r="E66" s="837">
        <f>E4-E16-E23-E34-E46-E63</f>
        <v>73717.457955000224</v>
      </c>
      <c r="F66" s="815">
        <f t="shared" ref="F66" si="9">E66-D66</f>
        <v>-127226.19427576929</v>
      </c>
    </row>
    <row r="67" spans="3:6" ht="15" thickTop="1" thickBot="1">
      <c r="E67" s="835"/>
    </row>
  </sheetData>
  <sortState xmlns:xlrd2="http://schemas.microsoft.com/office/spreadsheetml/2017/richdata2" ref="B49:J61">
    <sortCondition descending="1" ref="E49:E61"/>
  </sortState>
  <pageMargins left="0.25" right="0.25" top="0.75" bottom="0.75" header="0.3" footer="0.3"/>
  <pageSetup paperSize="5" scale="90" fitToWidth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workbookViewId="0">
      <selection activeCell="B2" sqref="B2:B7"/>
    </sheetView>
  </sheetViews>
  <sheetFormatPr defaultColWidth="8.8203125" defaultRowHeight="14.35"/>
  <cols>
    <col min="2" max="2" width="10.46875" bestFit="1" customWidth="1"/>
    <col min="3" max="10" width="11.46875" bestFit="1" customWidth="1"/>
    <col min="11" max="11" width="10.46875" bestFit="1" customWidth="1"/>
  </cols>
  <sheetData>
    <row r="1" spans="1:10" s="231" customFormat="1">
      <c r="B1" s="232" t="s">
        <v>495</v>
      </c>
      <c r="C1" s="232" t="s">
        <v>138</v>
      </c>
      <c r="D1" s="232" t="s">
        <v>139</v>
      </c>
      <c r="E1" s="232" t="s">
        <v>140</v>
      </c>
      <c r="F1" s="232" t="s">
        <v>141</v>
      </c>
      <c r="G1" s="232" t="s">
        <v>496</v>
      </c>
      <c r="H1" s="232" t="s">
        <v>497</v>
      </c>
      <c r="I1" s="232" t="s">
        <v>498</v>
      </c>
      <c r="J1" s="232" t="s">
        <v>499</v>
      </c>
    </row>
    <row r="2" spans="1:10">
      <c r="A2">
        <v>1</v>
      </c>
      <c r="B2">
        <v>1000</v>
      </c>
      <c r="C2">
        <v>1000</v>
      </c>
      <c r="D2">
        <v>1000</v>
      </c>
    </row>
    <row r="3" spans="1:10">
      <c r="A3">
        <v>2</v>
      </c>
      <c r="B3">
        <v>1000</v>
      </c>
      <c r="C3">
        <v>1000</v>
      </c>
      <c r="D3">
        <v>1000</v>
      </c>
    </row>
    <row r="4" spans="1:10">
      <c r="A4">
        <v>3</v>
      </c>
      <c r="B4">
        <v>1000</v>
      </c>
      <c r="C4">
        <v>1000</v>
      </c>
      <c r="D4">
        <v>1000</v>
      </c>
    </row>
    <row r="5" spans="1:10">
      <c r="A5">
        <v>4</v>
      </c>
      <c r="B5">
        <v>1000</v>
      </c>
      <c r="C5">
        <v>1000</v>
      </c>
      <c r="D5">
        <v>1000</v>
      </c>
    </row>
    <row r="6" spans="1:10">
      <c r="A6">
        <v>5</v>
      </c>
      <c r="B6">
        <v>1000</v>
      </c>
      <c r="C6">
        <v>1000</v>
      </c>
      <c r="D6">
        <v>1000</v>
      </c>
    </row>
    <row r="7" spans="1:10">
      <c r="A7">
        <v>6</v>
      </c>
      <c r="B7">
        <v>1000</v>
      </c>
      <c r="C7">
        <v>1000</v>
      </c>
      <c r="D7">
        <v>1000</v>
      </c>
    </row>
    <row r="8" spans="1:10">
      <c r="A8">
        <v>7</v>
      </c>
      <c r="C8">
        <v>1000</v>
      </c>
      <c r="D8">
        <v>1000</v>
      </c>
      <c r="E8">
        <v>1000</v>
      </c>
    </row>
    <row r="9" spans="1:10">
      <c r="A9">
        <v>8</v>
      </c>
      <c r="C9">
        <v>1000</v>
      </c>
      <c r="D9">
        <v>1000</v>
      </c>
      <c r="E9">
        <v>1000</v>
      </c>
    </row>
    <row r="10" spans="1:10">
      <c r="A10">
        <v>9</v>
      </c>
      <c r="C10">
        <v>1000</v>
      </c>
      <c r="D10">
        <v>1000</v>
      </c>
      <c r="E10">
        <v>1000</v>
      </c>
    </row>
    <row r="11" spans="1:10">
      <c r="A11">
        <v>10</v>
      </c>
      <c r="C11">
        <v>1000</v>
      </c>
      <c r="D11">
        <v>1000</v>
      </c>
      <c r="E11">
        <v>1000</v>
      </c>
    </row>
    <row r="12" spans="1:10">
      <c r="A12">
        <f>A11+1</f>
        <v>11</v>
      </c>
      <c r="C12">
        <v>1000</v>
      </c>
      <c r="D12">
        <v>1000</v>
      </c>
      <c r="E12">
        <v>1000</v>
      </c>
    </row>
    <row r="13" spans="1:10">
      <c r="A13">
        <f t="shared" ref="A13:A30" si="0">A12+1</f>
        <v>12</v>
      </c>
      <c r="D13">
        <v>1000</v>
      </c>
      <c r="E13">
        <v>1000</v>
      </c>
      <c r="F13">
        <v>1000</v>
      </c>
    </row>
    <row r="14" spans="1:10">
      <c r="A14">
        <f t="shared" si="0"/>
        <v>13</v>
      </c>
      <c r="D14">
        <v>1000</v>
      </c>
      <c r="E14">
        <v>1000</v>
      </c>
      <c r="F14">
        <v>1000</v>
      </c>
    </row>
    <row r="15" spans="1:10">
      <c r="A15">
        <f t="shared" si="0"/>
        <v>14</v>
      </c>
      <c r="D15">
        <v>1000</v>
      </c>
      <c r="E15">
        <v>1000</v>
      </c>
      <c r="F15">
        <v>1000</v>
      </c>
    </row>
    <row r="16" spans="1:10">
      <c r="A16">
        <f t="shared" si="0"/>
        <v>15</v>
      </c>
      <c r="D16">
        <v>1000</v>
      </c>
      <c r="E16">
        <v>1000</v>
      </c>
      <c r="F16">
        <v>1000</v>
      </c>
    </row>
    <row r="17" spans="1:11">
      <c r="A17">
        <f t="shared" si="0"/>
        <v>16</v>
      </c>
      <c r="D17">
        <v>1000</v>
      </c>
      <c r="E17">
        <v>1000</v>
      </c>
      <c r="F17">
        <v>1000</v>
      </c>
    </row>
    <row r="18" spans="1:11">
      <c r="A18">
        <f t="shared" si="0"/>
        <v>17</v>
      </c>
      <c r="D18">
        <v>1000</v>
      </c>
      <c r="E18">
        <v>1000</v>
      </c>
      <c r="F18">
        <v>1000</v>
      </c>
    </row>
    <row r="19" spans="1:11">
      <c r="A19">
        <f t="shared" si="0"/>
        <v>18</v>
      </c>
      <c r="E19">
        <v>1000</v>
      </c>
      <c r="F19">
        <v>1000</v>
      </c>
      <c r="G19">
        <v>1000</v>
      </c>
    </row>
    <row r="20" spans="1:11">
      <c r="A20">
        <f t="shared" si="0"/>
        <v>19</v>
      </c>
      <c r="E20">
        <v>1000</v>
      </c>
      <c r="F20">
        <v>1000</v>
      </c>
      <c r="G20">
        <v>1000</v>
      </c>
    </row>
    <row r="21" spans="1:11">
      <c r="A21">
        <f t="shared" si="0"/>
        <v>20</v>
      </c>
      <c r="E21">
        <v>1000</v>
      </c>
      <c r="F21">
        <v>1000</v>
      </c>
      <c r="G21">
        <v>1000</v>
      </c>
    </row>
    <row r="22" spans="1:11">
      <c r="A22">
        <f t="shared" si="0"/>
        <v>21</v>
      </c>
      <c r="E22">
        <v>1000</v>
      </c>
      <c r="F22">
        <v>1000</v>
      </c>
      <c r="G22">
        <v>1000</v>
      </c>
    </row>
    <row r="23" spans="1:11">
      <c r="A23">
        <f t="shared" si="0"/>
        <v>22</v>
      </c>
      <c r="E23">
        <v>1000</v>
      </c>
      <c r="F23">
        <v>1000</v>
      </c>
      <c r="G23">
        <v>1000</v>
      </c>
    </row>
    <row r="24" spans="1:11">
      <c r="A24">
        <f t="shared" si="0"/>
        <v>23</v>
      </c>
      <c r="E24">
        <v>1000</v>
      </c>
      <c r="F24">
        <v>1000</v>
      </c>
      <c r="G24">
        <v>1000</v>
      </c>
    </row>
    <row r="25" spans="1:11">
      <c r="A25">
        <f t="shared" si="0"/>
        <v>24</v>
      </c>
      <c r="F25">
        <v>1000</v>
      </c>
      <c r="G25">
        <v>1000</v>
      </c>
      <c r="H25">
        <v>1000</v>
      </c>
    </row>
    <row r="26" spans="1:11">
      <c r="A26">
        <f t="shared" si="0"/>
        <v>25</v>
      </c>
      <c r="F26">
        <v>1000</v>
      </c>
      <c r="G26">
        <v>1000</v>
      </c>
      <c r="H26">
        <v>1000</v>
      </c>
    </row>
    <row r="27" spans="1:11">
      <c r="A27">
        <f t="shared" si="0"/>
        <v>26</v>
      </c>
      <c r="F27">
        <v>1000</v>
      </c>
      <c r="G27">
        <v>1000</v>
      </c>
      <c r="H27">
        <v>1000</v>
      </c>
    </row>
    <row r="28" spans="1:11">
      <c r="A28">
        <f t="shared" si="0"/>
        <v>27</v>
      </c>
      <c r="F28">
        <v>1000</v>
      </c>
      <c r="G28">
        <v>1000</v>
      </c>
      <c r="H28">
        <v>1000</v>
      </c>
    </row>
    <row r="29" spans="1:11">
      <c r="A29">
        <f t="shared" si="0"/>
        <v>28</v>
      </c>
      <c r="F29">
        <v>1000</v>
      </c>
      <c r="G29">
        <v>1000</v>
      </c>
      <c r="H29">
        <v>1000</v>
      </c>
    </row>
    <row r="30" spans="1:11" ht="14.7" thickBot="1">
      <c r="A30" s="230">
        <f t="shared" si="0"/>
        <v>29</v>
      </c>
      <c r="B30" s="230"/>
      <c r="C30" s="230"/>
      <c r="D30" s="230"/>
      <c r="E30" s="230"/>
      <c r="F30" s="230">
        <v>1000</v>
      </c>
      <c r="G30" s="230">
        <v>1000</v>
      </c>
      <c r="H30" s="230">
        <v>1000</v>
      </c>
      <c r="I30" s="230"/>
      <c r="J30" s="230"/>
      <c r="K30" s="230"/>
    </row>
    <row r="31" spans="1:11" ht="14.7" thickTop="1">
      <c r="B31" s="224">
        <f>SUM(B2:B30)</f>
        <v>6000</v>
      </c>
      <c r="C31" s="224">
        <f t="shared" ref="C31:K31" si="1">SUM(C2:C30)</f>
        <v>11000</v>
      </c>
      <c r="D31" s="224">
        <f t="shared" si="1"/>
        <v>17000</v>
      </c>
      <c r="E31" s="224">
        <f t="shared" si="1"/>
        <v>17000</v>
      </c>
      <c r="F31" s="224">
        <f t="shared" si="1"/>
        <v>18000</v>
      </c>
      <c r="G31" s="224">
        <f t="shared" si="1"/>
        <v>12000</v>
      </c>
      <c r="H31" s="224">
        <f t="shared" si="1"/>
        <v>6000</v>
      </c>
      <c r="I31" s="224">
        <f t="shared" si="1"/>
        <v>0</v>
      </c>
      <c r="J31" s="224">
        <f t="shared" si="1"/>
        <v>0</v>
      </c>
      <c r="K31" s="224">
        <f t="shared" si="1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1"/>
  <sheetViews>
    <sheetView workbookViewId="0">
      <selection activeCell="M10" sqref="M10"/>
    </sheetView>
  </sheetViews>
  <sheetFormatPr defaultColWidth="8.8203125" defaultRowHeight="14.35"/>
  <cols>
    <col min="1" max="1" width="23.46875" style="16" bestFit="1" customWidth="1"/>
    <col min="2" max="2" width="11.46875" style="16" bestFit="1" customWidth="1"/>
    <col min="3" max="3" width="8.8203125" style="16"/>
    <col min="4" max="4" width="9.46875" style="16" bestFit="1" customWidth="1"/>
    <col min="5" max="5" width="11.46875" style="16" bestFit="1" customWidth="1"/>
    <col min="6" max="6" width="12.1171875" style="16" bestFit="1" customWidth="1"/>
    <col min="7" max="7" width="8.8203125" style="16"/>
    <col min="8" max="8" width="10" style="16" customWidth="1"/>
    <col min="9" max="9" width="11.46875" style="16" customWidth="1"/>
    <col min="10" max="10" width="8.8203125" style="16"/>
    <col min="11" max="11" width="22.46875" style="16" customWidth="1"/>
    <col min="12" max="12" width="12.46875" style="16" bestFit="1" customWidth="1"/>
    <col min="13" max="14" width="13.46875" style="16" bestFit="1" customWidth="1"/>
    <col min="15" max="15" width="19.46875" style="16" bestFit="1" customWidth="1"/>
    <col min="16" max="16" width="11.46875" style="16" customWidth="1"/>
  </cols>
  <sheetData>
    <row r="1" spans="1:16" ht="23.35">
      <c r="A1" s="880" t="s">
        <v>218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</row>
    <row r="3" spans="1:16">
      <c r="A3" s="17" t="s">
        <v>185</v>
      </c>
      <c r="B3" s="18"/>
      <c r="C3" s="18"/>
      <c r="D3" s="18"/>
      <c r="E3" s="18"/>
      <c r="F3" s="18"/>
      <c r="G3" s="18"/>
      <c r="H3" s="18"/>
      <c r="I3" s="19"/>
      <c r="J3" s="19"/>
      <c r="K3" s="19"/>
      <c r="L3" s="19"/>
      <c r="M3" s="19"/>
      <c r="N3" s="19"/>
      <c r="O3" s="19"/>
      <c r="P3" s="19"/>
    </row>
    <row r="5" spans="1:16">
      <c r="A5" s="20" t="s">
        <v>186</v>
      </c>
      <c r="B5" s="21">
        <v>212</v>
      </c>
      <c r="C5" s="21"/>
      <c r="D5" s="22"/>
      <c r="E5" s="21"/>
      <c r="F5" s="21"/>
      <c r="G5" s="21"/>
      <c r="H5" s="22"/>
      <c r="I5" s="22"/>
      <c r="J5" s="22"/>
      <c r="L5" s="23"/>
      <c r="M5" s="23"/>
      <c r="N5" s="23"/>
      <c r="O5" s="23"/>
      <c r="P5" s="23"/>
    </row>
    <row r="6" spans="1:16" ht="14.7" thickBot="1">
      <c r="A6" s="20"/>
      <c r="B6" s="20"/>
      <c r="C6" s="24"/>
      <c r="D6" s="21"/>
      <c r="E6" s="21"/>
      <c r="F6" s="21"/>
      <c r="G6" s="22"/>
      <c r="H6" s="881" t="s">
        <v>187</v>
      </c>
      <c r="I6" s="881"/>
      <c r="J6" s="22"/>
      <c r="K6" s="20"/>
      <c r="L6" s="22"/>
      <c r="M6" s="22"/>
      <c r="N6" s="22"/>
      <c r="O6" s="25" t="s">
        <v>188</v>
      </c>
      <c r="P6" s="26"/>
    </row>
    <row r="7" spans="1:16" ht="14.7" thickBot="1">
      <c r="A7" s="27" t="s">
        <v>189</v>
      </c>
      <c r="B7" s="28" t="s">
        <v>190</v>
      </c>
      <c r="C7" s="29" t="s">
        <v>191</v>
      </c>
      <c r="D7" s="30" t="s">
        <v>192</v>
      </c>
      <c r="E7" s="30" t="s">
        <v>193</v>
      </c>
      <c r="F7" s="31" t="s">
        <v>194</v>
      </c>
      <c r="G7" s="26"/>
      <c r="H7" s="31" t="s">
        <v>195</v>
      </c>
      <c r="I7" s="31" t="s">
        <v>196</v>
      </c>
      <c r="J7" s="26"/>
      <c r="K7" s="32" t="s">
        <v>373</v>
      </c>
      <c r="L7" s="33" t="s">
        <v>197</v>
      </c>
      <c r="M7" s="30" t="s">
        <v>198</v>
      </c>
      <c r="N7" s="30" t="s">
        <v>199</v>
      </c>
      <c r="O7" s="34" t="s">
        <v>200</v>
      </c>
      <c r="P7" s="22"/>
    </row>
    <row r="8" spans="1:16">
      <c r="A8" s="35" t="s">
        <v>201</v>
      </c>
      <c r="B8" s="882">
        <v>0.8</v>
      </c>
      <c r="C8" s="36">
        <v>0.77</v>
      </c>
      <c r="D8" s="37">
        <v>0.1013</v>
      </c>
      <c r="E8" s="37">
        <v>2.09</v>
      </c>
      <c r="F8" s="38">
        <f>$N$8*C8*B8</f>
        <v>15671.04</v>
      </c>
      <c r="G8" s="39"/>
      <c r="H8" s="40">
        <f>F8*D8</f>
        <v>1587.4763520000001</v>
      </c>
      <c r="I8" s="41">
        <f>F8*E8</f>
        <v>32752.473600000001</v>
      </c>
      <c r="J8" s="39"/>
      <c r="K8" s="42" t="s">
        <v>202</v>
      </c>
      <c r="L8" s="43">
        <v>1.2</v>
      </c>
      <c r="M8" s="44">
        <v>120</v>
      </c>
      <c r="N8" s="45">
        <f>M8*$B$5</f>
        <v>25440</v>
      </c>
      <c r="O8" s="46">
        <f>N8*L8</f>
        <v>30528</v>
      </c>
      <c r="P8" s="47">
        <f>(H11+I11)-O8</f>
        <v>8547.02592</v>
      </c>
    </row>
    <row r="9" spans="1:16">
      <c r="A9" s="48" t="s">
        <v>203</v>
      </c>
      <c r="B9" s="883"/>
      <c r="C9" s="49">
        <v>0.1</v>
      </c>
      <c r="D9" s="50">
        <v>0.15659999999999999</v>
      </c>
      <c r="E9" s="50">
        <v>1.79</v>
      </c>
      <c r="F9" s="51">
        <f>$N$8*C9*B8</f>
        <v>2035.2</v>
      </c>
      <c r="G9" s="39"/>
      <c r="H9" s="52">
        <f>F9*D9</f>
        <v>318.71231999999998</v>
      </c>
      <c r="I9" s="53">
        <f>F9*E9</f>
        <v>3643.0080000000003</v>
      </c>
      <c r="J9" s="39"/>
      <c r="K9" s="54" t="s">
        <v>204</v>
      </c>
      <c r="L9" s="43">
        <v>2.7</v>
      </c>
      <c r="M9" s="44">
        <v>120</v>
      </c>
      <c r="N9" s="45">
        <f>M9*$B$5</f>
        <v>25440</v>
      </c>
      <c r="O9" s="46">
        <f>N9*L9</f>
        <v>68688</v>
      </c>
      <c r="P9" s="47">
        <f>(H15+I15)-O9</f>
        <v>-8769.2697599999956</v>
      </c>
    </row>
    <row r="10" spans="1:16">
      <c r="A10" s="55" t="s">
        <v>205</v>
      </c>
      <c r="B10" s="884"/>
      <c r="C10" s="56">
        <v>0.13</v>
      </c>
      <c r="D10" s="57">
        <v>2.3E-3</v>
      </c>
      <c r="E10" s="57">
        <v>0.28999999999999998</v>
      </c>
      <c r="F10" s="51">
        <f>$N$8*C10*B8</f>
        <v>2645.76</v>
      </c>
      <c r="G10" s="39"/>
      <c r="H10" s="58">
        <f>F10*D10</f>
        <v>6.085248</v>
      </c>
      <c r="I10" s="59">
        <f>F10*E10</f>
        <v>767.2704</v>
      </c>
      <c r="J10" s="39"/>
      <c r="K10" s="54" t="s">
        <v>206</v>
      </c>
      <c r="L10" s="43">
        <v>0.84</v>
      </c>
      <c r="M10" s="44">
        <v>120</v>
      </c>
      <c r="N10" s="45">
        <f>M10*$B$5</f>
        <v>25440</v>
      </c>
      <c r="O10" s="46">
        <f>N10*L10</f>
        <v>21369.599999999999</v>
      </c>
      <c r="P10" s="47">
        <f>(H17+I17)-O10</f>
        <v>-3459.84</v>
      </c>
    </row>
    <row r="11" spans="1:16" ht="14.7" thickBot="1">
      <c r="A11" s="60" t="s">
        <v>207</v>
      </c>
      <c r="B11" s="61"/>
      <c r="C11" s="62"/>
      <c r="D11" s="63"/>
      <c r="E11" s="64"/>
      <c r="F11" s="65">
        <f>SUM(F8:F10)</f>
        <v>20352</v>
      </c>
      <c r="G11" s="39"/>
      <c r="H11" s="66">
        <f>SUM(H8:H10)</f>
        <v>1912.2739200000003</v>
      </c>
      <c r="I11" s="66">
        <f>SUM(I8:I10)</f>
        <v>37162.752</v>
      </c>
      <c r="J11" s="39"/>
      <c r="K11" s="54" t="s">
        <v>208</v>
      </c>
      <c r="L11" s="43"/>
      <c r="M11" s="44"/>
      <c r="N11" s="45">
        <f>M11*$B$5</f>
        <v>0</v>
      </c>
      <c r="O11" s="46">
        <f>N11*L11</f>
        <v>0</v>
      </c>
      <c r="P11" s="22"/>
    </row>
    <row r="12" spans="1:16" ht="14.7" thickBot="1">
      <c r="A12" s="67" t="s">
        <v>209</v>
      </c>
      <c r="B12" s="882">
        <v>0.8</v>
      </c>
      <c r="C12" s="68">
        <f>C8</f>
        <v>0.77</v>
      </c>
      <c r="D12" s="69">
        <v>5.9900000000000002E-2</v>
      </c>
      <c r="E12" s="70">
        <v>3.29</v>
      </c>
      <c r="F12" s="71">
        <f>$N$9*C12*B12</f>
        <v>15671.04</v>
      </c>
      <c r="G12" s="39"/>
      <c r="H12" s="40">
        <f>F12*D12</f>
        <v>938.6952960000001</v>
      </c>
      <c r="I12" s="41">
        <f>F12*E12</f>
        <v>51557.721600000004</v>
      </c>
      <c r="J12" s="39"/>
      <c r="K12" s="72"/>
      <c r="L12" s="22"/>
      <c r="M12" s="22"/>
      <c r="N12" s="22"/>
      <c r="O12" s="73">
        <f>SUM(O8:O11)</f>
        <v>120585.60000000001</v>
      </c>
      <c r="P12" s="74">
        <f>SUM(P8:P11)</f>
        <v>-3682.0838399999957</v>
      </c>
    </row>
    <row r="13" spans="1:16" ht="15" thickTop="1" thickBot="1">
      <c r="A13" s="67" t="s">
        <v>210</v>
      </c>
      <c r="B13" s="883"/>
      <c r="C13" s="68">
        <f>C9</f>
        <v>0.1</v>
      </c>
      <c r="D13" s="69">
        <v>0.1981</v>
      </c>
      <c r="E13" s="70">
        <v>2.89</v>
      </c>
      <c r="F13" s="71">
        <f>$N$9*C13*B12</f>
        <v>2035.2</v>
      </c>
      <c r="G13" s="39"/>
      <c r="H13" s="52">
        <f>F13*D13</f>
        <v>403.17311999999998</v>
      </c>
      <c r="I13" s="53">
        <f>F13*E13</f>
        <v>5881.7280000000001</v>
      </c>
      <c r="J13" s="39"/>
      <c r="O13" s="22"/>
      <c r="P13" s="22"/>
    </row>
    <row r="14" spans="1:16">
      <c r="A14" s="67" t="s">
        <v>205</v>
      </c>
      <c r="B14" s="884"/>
      <c r="C14" s="68">
        <f>C10</f>
        <v>0.13</v>
      </c>
      <c r="D14" s="69">
        <v>5.9900000000000002E-2</v>
      </c>
      <c r="E14" s="70">
        <v>0.37</v>
      </c>
      <c r="F14" s="71">
        <f>$N$9*C14*B12</f>
        <v>2645.76</v>
      </c>
      <c r="G14" s="39"/>
      <c r="H14" s="58">
        <f>F14*D14</f>
        <v>158.48102400000002</v>
      </c>
      <c r="I14" s="59">
        <f>F14*E14</f>
        <v>978.9312000000001</v>
      </c>
      <c r="J14" s="39"/>
      <c r="K14" s="75" t="s">
        <v>211</v>
      </c>
      <c r="L14" s="76">
        <f>C14</f>
        <v>0.13</v>
      </c>
      <c r="M14" s="77"/>
      <c r="N14" s="78" t="s">
        <v>212</v>
      </c>
      <c r="O14" s="79">
        <v>0.7</v>
      </c>
      <c r="P14" s="22"/>
    </row>
    <row r="15" spans="1:16" ht="14.7" thickBot="1">
      <c r="A15" s="60" t="s">
        <v>213</v>
      </c>
      <c r="B15" s="61"/>
      <c r="C15" s="62"/>
      <c r="D15" s="63"/>
      <c r="E15" s="64"/>
      <c r="F15" s="65">
        <f>SUM(F12:F14)</f>
        <v>20352</v>
      </c>
      <c r="G15" s="39"/>
      <c r="H15" s="66">
        <f>SUM(H12:H14)</f>
        <v>1500.34944</v>
      </c>
      <c r="I15" s="66">
        <f>SUM(I12:I14)</f>
        <v>58418.380800000006</v>
      </c>
      <c r="J15" s="39"/>
      <c r="K15" s="80" t="s">
        <v>202</v>
      </c>
      <c r="L15" s="81">
        <v>1.2</v>
      </c>
      <c r="M15" s="82">
        <f>N8*L14</f>
        <v>3307.2000000000003</v>
      </c>
      <c r="N15" s="83">
        <f>L15*M15</f>
        <v>3968.6400000000003</v>
      </c>
      <c r="O15" s="84">
        <f>N15*$O$14</f>
        <v>2778.0480000000002</v>
      </c>
      <c r="P15" s="22"/>
    </row>
    <row r="16" spans="1:16">
      <c r="A16" s="67" t="s">
        <v>214</v>
      </c>
      <c r="B16" s="85">
        <v>0.8</v>
      </c>
      <c r="C16" s="68">
        <v>1</v>
      </c>
      <c r="D16" s="69">
        <v>0</v>
      </c>
      <c r="E16" s="70">
        <v>0.88</v>
      </c>
      <c r="F16" s="71">
        <f>$N$10*C16*B16</f>
        <v>20352</v>
      </c>
      <c r="G16" s="39"/>
      <c r="H16" s="40">
        <f>F16*D16</f>
        <v>0</v>
      </c>
      <c r="I16" s="41">
        <f>F16*E16</f>
        <v>17909.759999999998</v>
      </c>
      <c r="J16" s="39"/>
      <c r="K16" s="80" t="s">
        <v>204</v>
      </c>
      <c r="L16" s="81">
        <v>2.7</v>
      </c>
      <c r="M16" s="82">
        <f>N9*L14</f>
        <v>3307.2000000000003</v>
      </c>
      <c r="N16" s="83">
        <f>L16*M16*L15</f>
        <v>10715.328</v>
      </c>
      <c r="O16" s="84">
        <f>N16*$O$14</f>
        <v>7500.7295999999988</v>
      </c>
      <c r="P16" s="22"/>
    </row>
    <row r="17" spans="1:16" ht="14.7" thickBot="1">
      <c r="A17" s="60" t="s">
        <v>215</v>
      </c>
      <c r="B17" s="60"/>
      <c r="C17" s="62"/>
      <c r="D17" s="63"/>
      <c r="E17" s="64"/>
      <c r="F17" s="65">
        <f>SUM(F16:F16)</f>
        <v>20352</v>
      </c>
      <c r="G17" s="39"/>
      <c r="H17" s="86">
        <f>SUM(H16:H16)</f>
        <v>0</v>
      </c>
      <c r="I17" s="86">
        <f>SUM(I16:I16)</f>
        <v>17909.759999999998</v>
      </c>
      <c r="J17" s="39"/>
      <c r="K17" s="87"/>
      <c r="L17" s="88">
        <f>SUM(L15:L16)</f>
        <v>3.9000000000000004</v>
      </c>
      <c r="M17" s="88"/>
      <c r="N17" s="89">
        <f>SUM(N15:N16)</f>
        <v>14683.968000000001</v>
      </c>
      <c r="O17" s="90">
        <f>SUM(O15:O16)</f>
        <v>10278.777599999999</v>
      </c>
      <c r="P17" s="22"/>
    </row>
    <row r="18" spans="1:16" ht="14.7" thickBot="1">
      <c r="A18" s="67"/>
      <c r="B18" s="69"/>
      <c r="C18" s="68"/>
      <c r="D18" s="22"/>
      <c r="E18" s="70"/>
      <c r="F18" s="91"/>
      <c r="G18" s="39"/>
      <c r="H18" s="73">
        <f>H17+H15+H11</f>
        <v>3412.6233600000005</v>
      </c>
      <c r="I18" s="73">
        <f>I17+I15+I11</f>
        <v>113490.8928</v>
      </c>
      <c r="J18" s="39"/>
      <c r="K18" s="22"/>
      <c r="L18" s="22"/>
      <c r="M18" s="22"/>
      <c r="N18" s="22"/>
      <c r="O18" s="22"/>
      <c r="P18" s="22"/>
    </row>
    <row r="19" spans="1:16" ht="14.7" thickTop="1">
      <c r="A19" s="22"/>
      <c r="B19" s="22"/>
      <c r="C19" s="22"/>
      <c r="D19" s="22"/>
      <c r="E19" s="22"/>
      <c r="F19" s="22"/>
      <c r="G19" s="39"/>
      <c r="H19" s="22"/>
      <c r="I19" s="22"/>
      <c r="J19" s="39"/>
      <c r="K19" s="22"/>
      <c r="L19" s="22"/>
      <c r="M19" s="22"/>
      <c r="N19" s="22"/>
      <c r="O19" s="22"/>
      <c r="P19" s="22"/>
    </row>
    <row r="20" spans="1:16" ht="39.35">
      <c r="A20" s="92" t="s">
        <v>216</v>
      </c>
      <c r="B20" s="93">
        <f>O12-H18-I18</f>
        <v>3682.0838400000066</v>
      </c>
    </row>
    <row r="21" spans="1:16" ht="39.35">
      <c r="A21" s="92" t="s">
        <v>217</v>
      </c>
      <c r="B21" s="93">
        <f>B20-N17</f>
        <v>-11001.884159999994</v>
      </c>
    </row>
  </sheetData>
  <mergeCells count="4">
    <mergeCell ref="A1:O1"/>
    <mergeCell ref="H6:I6"/>
    <mergeCell ref="B8:B10"/>
    <mergeCell ref="B12:B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53FB-6E28-413F-A0E1-239B1285F1E3}">
  <sheetPr>
    <pageSetUpPr fitToPage="1"/>
  </sheetPr>
  <dimension ref="A1:T87"/>
  <sheetViews>
    <sheetView topLeftCell="B1" zoomScaleNormal="100" workbookViewId="0">
      <selection activeCell="G25" sqref="G25"/>
    </sheetView>
  </sheetViews>
  <sheetFormatPr defaultColWidth="8.8203125" defaultRowHeight="14"/>
  <cols>
    <col min="1" max="1" width="5" style="531" customWidth="1"/>
    <col min="2" max="2" width="16.3515625" style="525" customWidth="1"/>
    <col min="3" max="3" width="23.46875" style="525" bestFit="1" customWidth="1"/>
    <col min="4" max="4" width="9.46875" style="525" customWidth="1"/>
    <col min="5" max="5" width="7.8203125" style="525" customWidth="1"/>
    <col min="6" max="7" width="9.3515625" style="525" bestFit="1" customWidth="1"/>
    <col min="8" max="8" width="9" style="525" customWidth="1"/>
    <col min="9" max="9" width="9.3515625" style="525" bestFit="1" customWidth="1"/>
    <col min="10" max="10" width="10.64453125" style="525" customWidth="1"/>
    <col min="11" max="11" width="10.8203125" style="525" bestFit="1" customWidth="1"/>
    <col min="12" max="12" width="0.46875" style="525" customWidth="1"/>
    <col min="13" max="16" width="9.1171875" style="525" bestFit="1" customWidth="1"/>
    <col min="17" max="18" width="10.3515625" style="525" bestFit="1" customWidth="1"/>
    <col min="19" max="19" width="0.46875" style="525" customWidth="1"/>
    <col min="20" max="20" width="10.8203125" style="525" bestFit="1" customWidth="1"/>
    <col min="21" max="16384" width="8.8203125" style="525"/>
  </cols>
  <sheetData>
    <row r="1" spans="1:20" ht="20.350000000000001">
      <c r="A1" s="527" t="s">
        <v>505</v>
      </c>
    </row>
    <row r="2" spans="1:20" ht="17.350000000000001">
      <c r="A2" s="707" t="s">
        <v>910</v>
      </c>
    </row>
    <row r="5" spans="1:20">
      <c r="D5" s="885" t="s">
        <v>778</v>
      </c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</row>
    <row r="6" spans="1:20" s="528" customFormat="1">
      <c r="A6" s="530"/>
      <c r="D6" s="885" t="s">
        <v>776</v>
      </c>
      <c r="E6" s="885"/>
      <c r="F6" s="885"/>
      <c r="G6" s="885"/>
      <c r="H6" s="885"/>
      <c r="I6" s="885"/>
      <c r="J6" s="885"/>
      <c r="K6" s="885"/>
      <c r="L6" s="549"/>
      <c r="M6" s="885" t="s">
        <v>777</v>
      </c>
      <c r="N6" s="885"/>
      <c r="O6" s="885"/>
      <c r="P6" s="885"/>
      <c r="Q6" s="885"/>
      <c r="R6" s="885"/>
      <c r="T6" s="544" t="s">
        <v>775</v>
      </c>
    </row>
    <row r="7" spans="1:20" s="528" customFormat="1">
      <c r="A7" s="530"/>
      <c r="D7" s="530" t="s">
        <v>765</v>
      </c>
      <c r="E7" s="530" t="s">
        <v>766</v>
      </c>
      <c r="F7" s="529" t="s">
        <v>761</v>
      </c>
      <c r="G7" s="529" t="s">
        <v>762</v>
      </c>
      <c r="H7" s="529" t="s">
        <v>773</v>
      </c>
      <c r="I7" s="529" t="s">
        <v>763</v>
      </c>
      <c r="J7" s="529" t="s">
        <v>779</v>
      </c>
      <c r="K7" s="540" t="s">
        <v>774</v>
      </c>
      <c r="L7" s="550"/>
      <c r="M7" s="529" t="s">
        <v>761</v>
      </c>
      <c r="N7" s="529" t="s">
        <v>762</v>
      </c>
      <c r="O7" s="529" t="s">
        <v>773</v>
      </c>
      <c r="P7" s="529" t="s">
        <v>763</v>
      </c>
      <c r="Q7" s="529" t="s">
        <v>764</v>
      </c>
      <c r="R7" s="540" t="s">
        <v>774</v>
      </c>
      <c r="T7" s="540" t="s">
        <v>0</v>
      </c>
    </row>
    <row r="8" spans="1:20">
      <c r="A8" s="538">
        <v>1</v>
      </c>
      <c r="B8" s="539" t="s">
        <v>736</v>
      </c>
      <c r="C8" s="539" t="s">
        <v>737</v>
      </c>
      <c r="D8" s="539" t="s">
        <v>769</v>
      </c>
      <c r="E8" s="539" t="s">
        <v>768</v>
      </c>
      <c r="F8" s="532">
        <v>609.54</v>
      </c>
      <c r="G8" s="532">
        <v>0</v>
      </c>
      <c r="H8" s="533">
        <f>G8/F8</f>
        <v>0</v>
      </c>
      <c r="I8" s="532">
        <f>F8-G8</f>
        <v>609.54</v>
      </c>
      <c r="J8" s="532">
        <f>I8*12</f>
        <v>7314.48</v>
      </c>
      <c r="K8" s="541">
        <f>J8/2</f>
        <v>3657.24</v>
      </c>
      <c r="L8" s="551"/>
      <c r="M8" s="532">
        <f>F8*(1+0.15)</f>
        <v>700.97099999999989</v>
      </c>
      <c r="N8" s="532">
        <v>0</v>
      </c>
      <c r="O8" s="533">
        <f>N8/M8</f>
        <v>0</v>
      </c>
      <c r="P8" s="532">
        <f>M8-N8</f>
        <v>700.97099999999989</v>
      </c>
      <c r="Q8" s="532">
        <f>P8*12</f>
        <v>8411.6519999999982</v>
      </c>
      <c r="R8" s="541">
        <f>Q8/2</f>
        <v>4205.8259999999991</v>
      </c>
      <c r="T8" s="541">
        <f>K8+R8</f>
        <v>7863.0659999999989</v>
      </c>
    </row>
    <row r="9" spans="1:20" s="562" customFormat="1">
      <c r="A9" s="560">
        <f>A8+1</f>
        <v>2</v>
      </c>
      <c r="B9" s="561" t="s">
        <v>780</v>
      </c>
      <c r="C9" s="561" t="s">
        <v>738</v>
      </c>
      <c r="D9" s="555" t="s">
        <v>772</v>
      </c>
      <c r="E9" s="555" t="s">
        <v>768</v>
      </c>
      <c r="F9" s="556">
        <v>729.24</v>
      </c>
      <c r="G9" s="556">
        <v>84.24</v>
      </c>
      <c r="H9" s="557">
        <f t="shared" ref="H9:H18" si="0">G9/F9</f>
        <v>0.11551752509461904</v>
      </c>
      <c r="I9" s="556">
        <f t="shared" ref="I9:I21" si="1">F9-G9</f>
        <v>645</v>
      </c>
      <c r="J9" s="556">
        <f t="shared" ref="J9:J23" si="2">I9*12</f>
        <v>7740</v>
      </c>
      <c r="K9" s="541">
        <f t="shared" ref="K9:K23" si="3">J9/2</f>
        <v>3870</v>
      </c>
      <c r="L9" s="559"/>
      <c r="M9" s="556">
        <f t="shared" ref="M9:M21" si="4">F9*(1+0.15)</f>
        <v>838.62599999999998</v>
      </c>
      <c r="N9" s="556">
        <f>H9*M9</f>
        <v>96.875999999999991</v>
      </c>
      <c r="O9" s="557">
        <f t="shared" ref="O9:O12" si="5">N9/M9</f>
        <v>0.11551752509461904</v>
      </c>
      <c r="P9" s="556">
        <f t="shared" ref="P9:P21" si="6">M9-N9</f>
        <v>741.75</v>
      </c>
      <c r="Q9" s="556">
        <f t="shared" ref="Q9:Q23" si="7">P9*12</f>
        <v>8901</v>
      </c>
      <c r="R9" s="541">
        <f t="shared" ref="R9:R23" si="8">Q9/2</f>
        <v>4450.5</v>
      </c>
      <c r="T9" s="541">
        <f t="shared" ref="T9:T21" si="9">K9+R9</f>
        <v>8320.5</v>
      </c>
    </row>
    <row r="10" spans="1:20">
      <c r="A10" s="538">
        <f t="shared" ref="A10:A21" si="10">A9+1</f>
        <v>3</v>
      </c>
      <c r="B10" s="539" t="s">
        <v>739</v>
      </c>
      <c r="C10" s="539" t="s">
        <v>740</v>
      </c>
      <c r="D10" s="539" t="s">
        <v>769</v>
      </c>
      <c r="E10" s="539" t="s">
        <v>770</v>
      </c>
      <c r="F10" s="532">
        <v>1277.95</v>
      </c>
      <c r="G10" s="532">
        <v>0</v>
      </c>
      <c r="H10" s="533">
        <f t="shared" si="0"/>
        <v>0</v>
      </c>
      <c r="I10" s="532">
        <f t="shared" si="1"/>
        <v>1277.95</v>
      </c>
      <c r="J10" s="532">
        <f t="shared" si="2"/>
        <v>15335.400000000001</v>
      </c>
      <c r="K10" s="541">
        <f t="shared" si="3"/>
        <v>7667.7000000000007</v>
      </c>
      <c r="L10" s="551"/>
      <c r="M10" s="532">
        <f t="shared" si="4"/>
        <v>1469.6424999999999</v>
      </c>
      <c r="N10" s="532">
        <v>0</v>
      </c>
      <c r="O10" s="533">
        <f t="shared" si="5"/>
        <v>0</v>
      </c>
      <c r="P10" s="532">
        <f t="shared" si="6"/>
        <v>1469.6424999999999</v>
      </c>
      <c r="Q10" s="532">
        <f t="shared" si="7"/>
        <v>17635.71</v>
      </c>
      <c r="R10" s="541">
        <f t="shared" si="8"/>
        <v>8817.8549999999996</v>
      </c>
      <c r="T10" s="541">
        <f t="shared" si="9"/>
        <v>16485.555</v>
      </c>
    </row>
    <row r="11" spans="1:20">
      <c r="A11" s="538">
        <f t="shared" si="10"/>
        <v>4</v>
      </c>
      <c r="B11" s="539" t="s">
        <v>741</v>
      </c>
      <c r="C11" s="539" t="s">
        <v>742</v>
      </c>
      <c r="D11" s="539" t="s">
        <v>772</v>
      </c>
      <c r="E11" s="539" t="s">
        <v>768</v>
      </c>
      <c r="F11" s="532">
        <v>729.24</v>
      </c>
      <c r="G11" s="532">
        <v>84.24</v>
      </c>
      <c r="H11" s="533">
        <f t="shared" si="0"/>
        <v>0.11551752509461904</v>
      </c>
      <c r="I11" s="532">
        <f t="shared" si="1"/>
        <v>645</v>
      </c>
      <c r="J11" s="532">
        <f t="shared" si="2"/>
        <v>7740</v>
      </c>
      <c r="K11" s="541">
        <f t="shared" si="3"/>
        <v>3870</v>
      </c>
      <c r="L11" s="551"/>
      <c r="M11" s="532">
        <f t="shared" si="4"/>
        <v>838.62599999999998</v>
      </c>
      <c r="N11" s="532">
        <f>H11*M11</f>
        <v>96.875999999999991</v>
      </c>
      <c r="O11" s="533">
        <f t="shared" si="5"/>
        <v>0.11551752509461904</v>
      </c>
      <c r="P11" s="532">
        <f t="shared" si="6"/>
        <v>741.75</v>
      </c>
      <c r="Q11" s="532">
        <f t="shared" si="7"/>
        <v>8901</v>
      </c>
      <c r="R11" s="541">
        <f t="shared" si="8"/>
        <v>4450.5</v>
      </c>
      <c r="T11" s="541">
        <f t="shared" si="9"/>
        <v>8320.5</v>
      </c>
    </row>
    <row r="12" spans="1:20">
      <c r="A12" s="538">
        <f t="shared" si="10"/>
        <v>5</v>
      </c>
      <c r="B12" s="539" t="s">
        <v>743</v>
      </c>
      <c r="C12" s="539" t="s">
        <v>744</v>
      </c>
      <c r="D12" s="539" t="s">
        <v>771</v>
      </c>
      <c r="E12" s="539"/>
      <c r="F12" s="532">
        <v>561.59</v>
      </c>
      <c r="G12" s="532">
        <v>0</v>
      </c>
      <c r="H12" s="533">
        <f t="shared" si="0"/>
        <v>0</v>
      </c>
      <c r="I12" s="532">
        <f t="shared" si="1"/>
        <v>561.59</v>
      </c>
      <c r="J12" s="532">
        <f t="shared" si="2"/>
        <v>6739.08</v>
      </c>
      <c r="K12" s="541">
        <f t="shared" si="3"/>
        <v>3369.54</v>
      </c>
      <c r="L12" s="551"/>
      <c r="M12" s="532">
        <f t="shared" si="4"/>
        <v>645.82849999999996</v>
      </c>
      <c r="N12" s="532">
        <v>0</v>
      </c>
      <c r="O12" s="533">
        <f t="shared" si="5"/>
        <v>0</v>
      </c>
      <c r="P12" s="532">
        <f t="shared" si="6"/>
        <v>645.82849999999996</v>
      </c>
      <c r="Q12" s="532">
        <f t="shared" si="7"/>
        <v>7749.9419999999991</v>
      </c>
      <c r="R12" s="541">
        <f t="shared" si="8"/>
        <v>3874.9709999999995</v>
      </c>
      <c r="T12" s="541">
        <f t="shared" si="9"/>
        <v>7244.5109999999995</v>
      </c>
    </row>
    <row r="13" spans="1:20">
      <c r="A13" s="538">
        <f t="shared" si="10"/>
        <v>6</v>
      </c>
      <c r="B13" s="539" t="s">
        <v>745</v>
      </c>
      <c r="C13" s="539" t="s">
        <v>746</v>
      </c>
      <c r="D13" s="539"/>
      <c r="E13" s="539"/>
      <c r="F13" s="532"/>
      <c r="G13" s="532"/>
      <c r="H13" s="533"/>
      <c r="I13" s="532">
        <f t="shared" si="1"/>
        <v>0</v>
      </c>
      <c r="J13" s="532">
        <f t="shared" si="2"/>
        <v>0</v>
      </c>
      <c r="K13" s="541">
        <f t="shared" si="3"/>
        <v>0</v>
      </c>
      <c r="L13" s="551"/>
      <c r="M13" s="532">
        <f t="shared" si="4"/>
        <v>0</v>
      </c>
      <c r="N13" s="532"/>
      <c r="O13" s="533"/>
      <c r="P13" s="532">
        <f t="shared" si="6"/>
        <v>0</v>
      </c>
      <c r="Q13" s="532">
        <f t="shared" si="7"/>
        <v>0</v>
      </c>
      <c r="R13" s="541">
        <f t="shared" si="8"/>
        <v>0</v>
      </c>
      <c r="T13" s="541">
        <f t="shared" si="9"/>
        <v>0</v>
      </c>
    </row>
    <row r="14" spans="1:20">
      <c r="A14" s="538">
        <f t="shared" si="10"/>
        <v>7</v>
      </c>
      <c r="B14" s="539" t="s">
        <v>747</v>
      </c>
      <c r="C14" s="539" t="s">
        <v>748</v>
      </c>
      <c r="D14" s="539"/>
      <c r="E14" s="539"/>
      <c r="F14" s="532"/>
      <c r="G14" s="532"/>
      <c r="H14" s="533"/>
      <c r="I14" s="532">
        <f t="shared" si="1"/>
        <v>0</v>
      </c>
      <c r="J14" s="532">
        <f t="shared" si="2"/>
        <v>0</v>
      </c>
      <c r="K14" s="541">
        <f t="shared" si="3"/>
        <v>0</v>
      </c>
      <c r="L14" s="551"/>
      <c r="M14" s="532">
        <f t="shared" si="4"/>
        <v>0</v>
      </c>
      <c r="N14" s="532"/>
      <c r="O14" s="533"/>
      <c r="P14" s="532">
        <f t="shared" si="6"/>
        <v>0</v>
      </c>
      <c r="Q14" s="532">
        <f t="shared" si="7"/>
        <v>0</v>
      </c>
      <c r="R14" s="541">
        <f t="shared" si="8"/>
        <v>0</v>
      </c>
      <c r="T14" s="541">
        <f t="shared" si="9"/>
        <v>0</v>
      </c>
    </row>
    <row r="15" spans="1:20">
      <c r="A15" s="538">
        <f t="shared" si="10"/>
        <v>8</v>
      </c>
      <c r="B15" s="539" t="s">
        <v>749</v>
      </c>
      <c r="C15" s="539" t="s">
        <v>750</v>
      </c>
      <c r="D15" s="539"/>
      <c r="E15" s="539"/>
      <c r="F15" s="532"/>
      <c r="G15" s="532"/>
      <c r="H15" s="533"/>
      <c r="I15" s="532">
        <f t="shared" si="1"/>
        <v>0</v>
      </c>
      <c r="J15" s="532">
        <f t="shared" si="2"/>
        <v>0</v>
      </c>
      <c r="K15" s="541">
        <f t="shared" si="3"/>
        <v>0</v>
      </c>
      <c r="L15" s="551"/>
      <c r="M15" s="532">
        <f t="shared" si="4"/>
        <v>0</v>
      </c>
      <c r="N15" s="532"/>
      <c r="O15" s="533"/>
      <c r="P15" s="532">
        <f t="shared" si="6"/>
        <v>0</v>
      </c>
      <c r="Q15" s="532">
        <f t="shared" si="7"/>
        <v>0</v>
      </c>
      <c r="R15" s="541">
        <f t="shared" si="8"/>
        <v>0</v>
      </c>
      <c r="T15" s="541">
        <f t="shared" si="9"/>
        <v>0</v>
      </c>
    </row>
    <row r="16" spans="1:20">
      <c r="A16" s="538">
        <f t="shared" si="10"/>
        <v>9</v>
      </c>
      <c r="B16" s="539" t="s">
        <v>751</v>
      </c>
      <c r="C16" s="539" t="s">
        <v>746</v>
      </c>
      <c r="D16" s="539" t="s">
        <v>772</v>
      </c>
      <c r="E16" s="539" t="s">
        <v>768</v>
      </c>
      <c r="F16" s="532">
        <v>729.24</v>
      </c>
      <c r="G16" s="532">
        <v>84.24</v>
      </c>
      <c r="H16" s="533">
        <f t="shared" si="0"/>
        <v>0.11551752509461904</v>
      </c>
      <c r="I16" s="532">
        <f t="shared" si="1"/>
        <v>645</v>
      </c>
      <c r="J16" s="532">
        <f t="shared" si="2"/>
        <v>7740</v>
      </c>
      <c r="K16" s="541">
        <f t="shared" si="3"/>
        <v>3870</v>
      </c>
      <c r="L16" s="551"/>
      <c r="M16" s="532">
        <f t="shared" si="4"/>
        <v>838.62599999999998</v>
      </c>
      <c r="N16" s="532">
        <f>H16*M16</f>
        <v>96.875999999999991</v>
      </c>
      <c r="O16" s="533">
        <f t="shared" ref="O16" si="11">N16/M16</f>
        <v>0.11551752509461904</v>
      </c>
      <c r="P16" s="532">
        <f t="shared" si="6"/>
        <v>741.75</v>
      </c>
      <c r="Q16" s="532">
        <f t="shared" si="7"/>
        <v>8901</v>
      </c>
      <c r="R16" s="541">
        <f t="shared" si="8"/>
        <v>4450.5</v>
      </c>
      <c r="T16" s="541">
        <f t="shared" si="9"/>
        <v>8320.5</v>
      </c>
    </row>
    <row r="17" spans="1:20">
      <c r="A17" s="538">
        <f t="shared" si="10"/>
        <v>10</v>
      </c>
      <c r="B17" s="539" t="s">
        <v>752</v>
      </c>
      <c r="C17" s="539" t="s">
        <v>753</v>
      </c>
      <c r="D17" s="539"/>
      <c r="E17" s="539"/>
      <c r="F17" s="532"/>
      <c r="G17" s="532"/>
      <c r="H17" s="533"/>
      <c r="I17" s="532">
        <f t="shared" si="1"/>
        <v>0</v>
      </c>
      <c r="J17" s="532">
        <f t="shared" si="2"/>
        <v>0</v>
      </c>
      <c r="K17" s="541">
        <f t="shared" si="3"/>
        <v>0</v>
      </c>
      <c r="L17" s="551"/>
      <c r="M17" s="532">
        <f t="shared" si="4"/>
        <v>0</v>
      </c>
      <c r="N17" s="532"/>
      <c r="O17" s="533"/>
      <c r="P17" s="532">
        <f t="shared" si="6"/>
        <v>0</v>
      </c>
      <c r="Q17" s="532">
        <f t="shared" si="7"/>
        <v>0</v>
      </c>
      <c r="R17" s="541">
        <f t="shared" si="8"/>
        <v>0</v>
      </c>
      <c r="T17" s="541">
        <f t="shared" si="9"/>
        <v>0</v>
      </c>
    </row>
    <row r="18" spans="1:20">
      <c r="A18" s="538">
        <f t="shared" si="10"/>
        <v>11</v>
      </c>
      <c r="B18" s="539" t="s">
        <v>754</v>
      </c>
      <c r="C18" s="539" t="s">
        <v>755</v>
      </c>
      <c r="D18" s="539" t="s">
        <v>767</v>
      </c>
      <c r="E18" s="539" t="s">
        <v>768</v>
      </c>
      <c r="F18" s="532">
        <v>639.25</v>
      </c>
      <c r="G18" s="532">
        <v>0</v>
      </c>
      <c r="H18" s="533">
        <f t="shared" si="0"/>
        <v>0</v>
      </c>
      <c r="I18" s="532">
        <f t="shared" si="1"/>
        <v>639.25</v>
      </c>
      <c r="J18" s="532">
        <f t="shared" si="2"/>
        <v>7671</v>
      </c>
      <c r="K18" s="541">
        <f t="shared" si="3"/>
        <v>3835.5</v>
      </c>
      <c r="L18" s="551"/>
      <c r="M18" s="532">
        <f t="shared" si="4"/>
        <v>735.13749999999993</v>
      </c>
      <c r="N18" s="532">
        <v>0</v>
      </c>
      <c r="O18" s="533">
        <f t="shared" ref="O18" si="12">N18/M18</f>
        <v>0</v>
      </c>
      <c r="P18" s="532">
        <f t="shared" si="6"/>
        <v>735.13749999999993</v>
      </c>
      <c r="Q18" s="532">
        <f t="shared" si="7"/>
        <v>8821.65</v>
      </c>
      <c r="R18" s="541">
        <f t="shared" si="8"/>
        <v>4410.8249999999998</v>
      </c>
      <c r="T18" s="541">
        <f t="shared" si="9"/>
        <v>8246.3250000000007</v>
      </c>
    </row>
    <row r="19" spans="1:20">
      <c r="A19" s="538">
        <f t="shared" si="10"/>
        <v>12</v>
      </c>
      <c r="B19" s="539" t="s">
        <v>756</v>
      </c>
      <c r="C19" s="539" t="s">
        <v>757</v>
      </c>
      <c r="D19" s="539"/>
      <c r="E19" s="539"/>
      <c r="F19" s="532"/>
      <c r="G19" s="532"/>
      <c r="H19" s="533"/>
      <c r="I19" s="532">
        <f t="shared" si="1"/>
        <v>0</v>
      </c>
      <c r="J19" s="532">
        <f t="shared" si="2"/>
        <v>0</v>
      </c>
      <c r="K19" s="541">
        <f t="shared" si="3"/>
        <v>0</v>
      </c>
      <c r="L19" s="551"/>
      <c r="M19" s="532">
        <f t="shared" si="4"/>
        <v>0</v>
      </c>
      <c r="N19" s="532"/>
      <c r="O19" s="533"/>
      <c r="P19" s="532">
        <f t="shared" si="6"/>
        <v>0</v>
      </c>
      <c r="Q19" s="532">
        <f t="shared" si="7"/>
        <v>0</v>
      </c>
      <c r="R19" s="541">
        <f t="shared" si="8"/>
        <v>0</v>
      </c>
      <c r="T19" s="541">
        <f t="shared" si="9"/>
        <v>0</v>
      </c>
    </row>
    <row r="20" spans="1:20">
      <c r="A20" s="538">
        <f t="shared" si="10"/>
        <v>13</v>
      </c>
      <c r="B20" s="539" t="s">
        <v>758</v>
      </c>
      <c r="C20" s="539" t="s">
        <v>757</v>
      </c>
      <c r="D20" s="539"/>
      <c r="E20" s="539"/>
      <c r="F20" s="532"/>
      <c r="G20" s="532"/>
      <c r="H20" s="533"/>
      <c r="I20" s="532">
        <f t="shared" si="1"/>
        <v>0</v>
      </c>
      <c r="J20" s="532">
        <f t="shared" si="2"/>
        <v>0</v>
      </c>
      <c r="K20" s="541">
        <f t="shared" si="3"/>
        <v>0</v>
      </c>
      <c r="L20" s="551"/>
      <c r="M20" s="532">
        <f t="shared" si="4"/>
        <v>0</v>
      </c>
      <c r="N20" s="532"/>
      <c r="O20" s="533"/>
      <c r="P20" s="532">
        <f t="shared" si="6"/>
        <v>0</v>
      </c>
      <c r="Q20" s="532">
        <f t="shared" si="7"/>
        <v>0</v>
      </c>
      <c r="R20" s="541">
        <f t="shared" si="8"/>
        <v>0</v>
      </c>
      <c r="T20" s="541">
        <f t="shared" si="9"/>
        <v>0</v>
      </c>
    </row>
    <row r="21" spans="1:20">
      <c r="A21" s="538">
        <f t="shared" si="10"/>
        <v>14</v>
      </c>
      <c r="B21" s="539" t="s">
        <v>759</v>
      </c>
      <c r="C21" s="539" t="s">
        <v>760</v>
      </c>
      <c r="D21" s="539"/>
      <c r="E21" s="539"/>
      <c r="F21" s="545"/>
      <c r="G21" s="545"/>
      <c r="H21" s="536"/>
      <c r="I21" s="545">
        <f t="shared" si="1"/>
        <v>0</v>
      </c>
      <c r="J21" s="545">
        <f t="shared" si="2"/>
        <v>0</v>
      </c>
      <c r="K21" s="546">
        <f t="shared" si="3"/>
        <v>0</v>
      </c>
      <c r="L21" s="551"/>
      <c r="M21" s="545">
        <f t="shared" si="4"/>
        <v>0</v>
      </c>
      <c r="N21" s="545"/>
      <c r="O21" s="536"/>
      <c r="P21" s="545">
        <f t="shared" si="6"/>
        <v>0</v>
      </c>
      <c r="Q21" s="545">
        <f t="shared" si="7"/>
        <v>0</v>
      </c>
      <c r="R21" s="546">
        <f t="shared" si="8"/>
        <v>0</v>
      </c>
      <c r="S21" s="547"/>
      <c r="T21" s="546">
        <f t="shared" si="9"/>
        <v>0</v>
      </c>
    </row>
    <row r="22" spans="1:20">
      <c r="A22" s="538">
        <v>15</v>
      </c>
      <c r="B22" s="539" t="s">
        <v>780</v>
      </c>
      <c r="C22" s="539"/>
      <c r="D22" s="539"/>
      <c r="E22" s="539"/>
      <c r="F22" s="545">
        <v>639.25</v>
      </c>
      <c r="G22" s="545"/>
      <c r="H22" s="536"/>
      <c r="I22" s="545">
        <f t="shared" ref="I22" si="13">F22-G22</f>
        <v>639.25</v>
      </c>
      <c r="J22" s="545">
        <f t="shared" si="2"/>
        <v>7671</v>
      </c>
      <c r="K22" s="546">
        <f t="shared" si="3"/>
        <v>3835.5</v>
      </c>
      <c r="L22" s="551"/>
      <c r="M22" s="545">
        <f t="shared" ref="M22" si="14">F22*(1+0.15)</f>
        <v>735.13749999999993</v>
      </c>
      <c r="N22" s="545"/>
      <c r="O22" s="536"/>
      <c r="P22" s="545">
        <f t="shared" ref="P22" si="15">M22-N22</f>
        <v>735.13749999999993</v>
      </c>
      <c r="Q22" s="545">
        <f t="shared" si="7"/>
        <v>8821.65</v>
      </c>
      <c r="R22" s="546">
        <f t="shared" si="8"/>
        <v>4410.8249999999998</v>
      </c>
      <c r="S22" s="547"/>
      <c r="T22" s="546">
        <f t="shared" ref="T22" si="16">K22+R22</f>
        <v>8246.3250000000007</v>
      </c>
    </row>
    <row r="23" spans="1:20">
      <c r="A23" s="538">
        <v>16</v>
      </c>
      <c r="B23" s="539" t="s">
        <v>780</v>
      </c>
      <c r="C23" s="539"/>
      <c r="D23" s="539"/>
      <c r="E23" s="539"/>
      <c r="F23" s="535">
        <v>639.25</v>
      </c>
      <c r="G23" s="535"/>
      <c r="H23" s="536"/>
      <c r="I23" s="535">
        <f t="shared" ref="I23" si="17">F23-G23</f>
        <v>639.25</v>
      </c>
      <c r="J23" s="535">
        <f t="shared" si="2"/>
        <v>7671</v>
      </c>
      <c r="K23" s="542">
        <f t="shared" si="3"/>
        <v>3835.5</v>
      </c>
      <c r="L23" s="551"/>
      <c r="M23" s="535">
        <f t="shared" ref="M23" si="18">F23*(1+0.15)</f>
        <v>735.13749999999993</v>
      </c>
      <c r="N23" s="535"/>
      <c r="O23" s="536"/>
      <c r="P23" s="535">
        <f t="shared" ref="P23" si="19">M23-N23</f>
        <v>735.13749999999993</v>
      </c>
      <c r="Q23" s="535">
        <f t="shared" si="7"/>
        <v>8821.65</v>
      </c>
      <c r="R23" s="542">
        <f t="shared" si="8"/>
        <v>4410.8249999999998</v>
      </c>
      <c r="T23" s="542">
        <f t="shared" ref="T23" si="20">K23+R23</f>
        <v>8246.3250000000007</v>
      </c>
    </row>
    <row r="24" spans="1:20" s="528" customFormat="1">
      <c r="A24" s="530"/>
      <c r="F24" s="537">
        <f>SUM(F8:F23)</f>
        <v>6554.55</v>
      </c>
      <c r="G24" s="537">
        <f>SUM(G8:G23)</f>
        <v>252.71999999999997</v>
      </c>
      <c r="I24" s="537">
        <f>SUM(I8:I23)</f>
        <v>6301.83</v>
      </c>
      <c r="J24" s="537">
        <f>SUM(J8:J23)</f>
        <v>75621.960000000006</v>
      </c>
      <c r="K24" s="543">
        <f>SUM(K8:K23)</f>
        <v>37810.980000000003</v>
      </c>
      <c r="L24" s="550"/>
      <c r="M24" s="537">
        <f>SUM(M8:M23)</f>
        <v>7537.7324999999992</v>
      </c>
      <c r="N24" s="537">
        <f>SUM(N8:N23)</f>
        <v>290.62799999999999</v>
      </c>
      <c r="P24" s="537">
        <f>SUM(P8:P23)</f>
        <v>7247.1044999999995</v>
      </c>
      <c r="Q24" s="537">
        <f>SUM(Q8:Q23)</f>
        <v>86965.253999999972</v>
      </c>
      <c r="R24" s="543">
        <f>SUM(R8:R23)</f>
        <v>43482.626999999986</v>
      </c>
      <c r="T24" s="543">
        <f>SUM(T8:T23)</f>
        <v>81293.606999999989</v>
      </c>
    </row>
    <row r="25" spans="1:20">
      <c r="L25" s="551"/>
    </row>
    <row r="26" spans="1:20">
      <c r="L26" s="551"/>
    </row>
    <row r="27" spans="1:20">
      <c r="L27" s="551"/>
    </row>
    <row r="28" spans="1:20">
      <c r="F28" s="534"/>
      <c r="L28" s="552"/>
    </row>
    <row r="29" spans="1:20">
      <c r="D29" s="885" t="s">
        <v>781</v>
      </c>
      <c r="E29" s="885"/>
      <c r="F29" s="885"/>
      <c r="G29" s="885"/>
      <c r="H29" s="885"/>
      <c r="I29" s="885"/>
      <c r="J29" s="885"/>
      <c r="K29" s="885"/>
      <c r="L29" s="885"/>
      <c r="M29" s="885"/>
      <c r="N29" s="885"/>
      <c r="O29" s="885"/>
      <c r="P29" s="885"/>
      <c r="Q29" s="885"/>
      <c r="R29" s="885"/>
      <c r="S29" s="885"/>
      <c r="T29" s="885"/>
    </row>
    <row r="30" spans="1:20" s="528" customFormat="1">
      <c r="A30" s="530"/>
      <c r="D30" s="886" t="s">
        <v>776</v>
      </c>
      <c r="E30" s="886"/>
      <c r="F30" s="886"/>
      <c r="G30" s="886"/>
      <c r="H30" s="886"/>
      <c r="I30" s="886"/>
      <c r="J30" s="548"/>
      <c r="K30" s="548"/>
      <c r="L30" s="549"/>
      <c r="M30" s="885" t="s">
        <v>777</v>
      </c>
      <c r="N30" s="885"/>
      <c r="O30" s="885"/>
      <c r="P30" s="885"/>
      <c r="Q30" s="885"/>
      <c r="R30" s="885"/>
      <c r="T30" s="544" t="s">
        <v>775</v>
      </c>
    </row>
    <row r="31" spans="1:20" s="528" customFormat="1">
      <c r="A31" s="530"/>
      <c r="D31" s="529" t="s">
        <v>761</v>
      </c>
      <c r="E31" s="529" t="s">
        <v>762</v>
      </c>
      <c r="F31" s="529" t="s">
        <v>773</v>
      </c>
      <c r="G31" s="529" t="s">
        <v>763</v>
      </c>
      <c r="H31" s="529" t="s">
        <v>779</v>
      </c>
      <c r="I31" s="540" t="s">
        <v>774</v>
      </c>
      <c r="L31" s="550"/>
      <c r="M31" s="529" t="s">
        <v>761</v>
      </c>
      <c r="N31" s="529" t="s">
        <v>762</v>
      </c>
      <c r="O31" s="529" t="s">
        <v>773</v>
      </c>
      <c r="P31" s="529" t="s">
        <v>763</v>
      </c>
      <c r="Q31" s="529" t="s">
        <v>764</v>
      </c>
      <c r="R31" s="540" t="s">
        <v>774</v>
      </c>
      <c r="T31" s="540" t="s">
        <v>0</v>
      </c>
    </row>
    <row r="32" spans="1:20">
      <c r="A32" s="538">
        <v>1</v>
      </c>
      <c r="B32" s="539" t="s">
        <v>736</v>
      </c>
      <c r="C32" s="539" t="s">
        <v>737</v>
      </c>
      <c r="D32" s="532">
        <v>7.37</v>
      </c>
      <c r="E32" s="532"/>
      <c r="F32" s="533"/>
      <c r="G32" s="532">
        <f>D32-E32</f>
        <v>7.37</v>
      </c>
      <c r="H32" s="532">
        <f>G32*12</f>
        <v>88.44</v>
      </c>
      <c r="I32" s="541">
        <f>H32/2</f>
        <v>44.22</v>
      </c>
      <c r="L32" s="551"/>
      <c r="M32" s="532">
        <f t="shared" ref="M32:M45" si="21">D32*(1+0.15)</f>
        <v>8.4755000000000003</v>
      </c>
      <c r="N32" s="532">
        <v>0</v>
      </c>
      <c r="O32" s="533"/>
      <c r="P32" s="532">
        <f>M32-N32</f>
        <v>8.4755000000000003</v>
      </c>
      <c r="Q32" s="532">
        <f>P32*12</f>
        <v>101.706</v>
      </c>
      <c r="R32" s="541">
        <f>Q32/2</f>
        <v>50.853000000000002</v>
      </c>
      <c r="T32" s="541">
        <f t="shared" ref="T32:T45" si="22">I32+R32</f>
        <v>95.073000000000008</v>
      </c>
    </row>
    <row r="33" spans="1:20" s="562" customFormat="1">
      <c r="A33" s="560">
        <f>A32+1</f>
        <v>2</v>
      </c>
      <c r="B33" s="561" t="s">
        <v>780</v>
      </c>
      <c r="C33" s="561" t="s">
        <v>738</v>
      </c>
      <c r="D33" s="556">
        <v>4.95</v>
      </c>
      <c r="E33" s="556"/>
      <c r="F33" s="557"/>
      <c r="G33" s="556">
        <f t="shared" ref="G33:G45" si="23">D33-E33</f>
        <v>4.95</v>
      </c>
      <c r="H33" s="556">
        <f t="shared" ref="H33:H45" si="24">G33*12</f>
        <v>59.400000000000006</v>
      </c>
      <c r="I33" s="541">
        <f t="shared" ref="I33:I45" si="25">H33/2</f>
        <v>29.700000000000003</v>
      </c>
      <c r="L33" s="559"/>
      <c r="M33" s="556">
        <f t="shared" si="21"/>
        <v>5.6924999999999999</v>
      </c>
      <c r="N33" s="556">
        <f>F33*M33</f>
        <v>0</v>
      </c>
      <c r="O33" s="557"/>
      <c r="P33" s="556">
        <f t="shared" ref="P33:P45" si="26">M33-N33</f>
        <v>5.6924999999999999</v>
      </c>
      <c r="Q33" s="556">
        <f t="shared" ref="Q33:Q45" si="27">P33*12</f>
        <v>68.31</v>
      </c>
      <c r="R33" s="541">
        <f t="shared" ref="R33:R45" si="28">Q33/2</f>
        <v>34.155000000000001</v>
      </c>
      <c r="T33" s="541">
        <f t="shared" si="22"/>
        <v>63.855000000000004</v>
      </c>
    </row>
    <row r="34" spans="1:20">
      <c r="A34" s="538">
        <f t="shared" ref="A34:A45" si="29">A33+1</f>
        <v>3</v>
      </c>
      <c r="B34" s="539" t="s">
        <v>739</v>
      </c>
      <c r="C34" s="539" t="s">
        <v>740</v>
      </c>
      <c r="D34" s="532">
        <v>2.92</v>
      </c>
      <c r="E34" s="532"/>
      <c r="F34" s="533"/>
      <c r="G34" s="532">
        <f t="shared" si="23"/>
        <v>2.92</v>
      </c>
      <c r="H34" s="532">
        <f t="shared" si="24"/>
        <v>35.04</v>
      </c>
      <c r="I34" s="541">
        <f t="shared" si="25"/>
        <v>17.52</v>
      </c>
      <c r="L34" s="551"/>
      <c r="M34" s="532">
        <f t="shared" si="21"/>
        <v>3.3579999999999997</v>
      </c>
      <c r="N34" s="532">
        <v>0</v>
      </c>
      <c r="O34" s="533"/>
      <c r="P34" s="532">
        <f t="shared" si="26"/>
        <v>3.3579999999999997</v>
      </c>
      <c r="Q34" s="532">
        <f t="shared" si="27"/>
        <v>40.295999999999992</v>
      </c>
      <c r="R34" s="541">
        <f t="shared" si="28"/>
        <v>20.147999999999996</v>
      </c>
      <c r="T34" s="541">
        <f t="shared" si="22"/>
        <v>37.667999999999992</v>
      </c>
    </row>
    <row r="35" spans="1:20">
      <c r="A35" s="538">
        <f t="shared" si="29"/>
        <v>4</v>
      </c>
      <c r="B35" s="539" t="s">
        <v>741</v>
      </c>
      <c r="C35" s="539" t="s">
        <v>742</v>
      </c>
      <c r="D35" s="532">
        <v>4.4000000000000004</v>
      </c>
      <c r="E35" s="532"/>
      <c r="F35" s="533"/>
      <c r="G35" s="532">
        <f t="shared" si="23"/>
        <v>4.4000000000000004</v>
      </c>
      <c r="H35" s="532">
        <f t="shared" si="24"/>
        <v>52.800000000000004</v>
      </c>
      <c r="I35" s="541">
        <f t="shared" si="25"/>
        <v>26.400000000000002</v>
      </c>
      <c r="L35" s="551"/>
      <c r="M35" s="532">
        <f t="shared" si="21"/>
        <v>5.0599999999999996</v>
      </c>
      <c r="N35" s="532">
        <f>F35*M35</f>
        <v>0</v>
      </c>
      <c r="O35" s="533"/>
      <c r="P35" s="532">
        <f t="shared" si="26"/>
        <v>5.0599999999999996</v>
      </c>
      <c r="Q35" s="532">
        <f t="shared" si="27"/>
        <v>60.72</v>
      </c>
      <c r="R35" s="541">
        <f t="shared" si="28"/>
        <v>30.36</v>
      </c>
      <c r="T35" s="541">
        <f t="shared" si="22"/>
        <v>56.760000000000005</v>
      </c>
    </row>
    <row r="36" spans="1:20">
      <c r="A36" s="538">
        <f t="shared" si="29"/>
        <v>5</v>
      </c>
      <c r="B36" s="539" t="s">
        <v>743</v>
      </c>
      <c r="C36" s="539" t="s">
        <v>744</v>
      </c>
      <c r="D36" s="532">
        <v>3.74</v>
      </c>
      <c r="E36" s="532"/>
      <c r="F36" s="533"/>
      <c r="G36" s="532">
        <f t="shared" si="23"/>
        <v>3.74</v>
      </c>
      <c r="H36" s="532">
        <f t="shared" si="24"/>
        <v>44.88</v>
      </c>
      <c r="I36" s="541">
        <f t="shared" si="25"/>
        <v>22.44</v>
      </c>
      <c r="L36" s="551"/>
      <c r="M36" s="532">
        <f t="shared" si="21"/>
        <v>4.3010000000000002</v>
      </c>
      <c r="N36" s="532">
        <v>0</v>
      </c>
      <c r="O36" s="533"/>
      <c r="P36" s="532">
        <f t="shared" si="26"/>
        <v>4.3010000000000002</v>
      </c>
      <c r="Q36" s="532">
        <f t="shared" si="27"/>
        <v>51.612000000000002</v>
      </c>
      <c r="R36" s="541">
        <f t="shared" si="28"/>
        <v>25.806000000000001</v>
      </c>
      <c r="T36" s="541">
        <f t="shared" si="22"/>
        <v>48.246000000000002</v>
      </c>
    </row>
    <row r="37" spans="1:20">
      <c r="A37" s="538">
        <f t="shared" si="29"/>
        <v>6</v>
      </c>
      <c r="B37" s="539" t="s">
        <v>745</v>
      </c>
      <c r="C37" s="539" t="s">
        <v>746</v>
      </c>
      <c r="D37" s="532">
        <v>4.07</v>
      </c>
      <c r="E37" s="532"/>
      <c r="F37" s="533"/>
      <c r="G37" s="532">
        <f t="shared" si="23"/>
        <v>4.07</v>
      </c>
      <c r="H37" s="532">
        <f t="shared" si="24"/>
        <v>48.84</v>
      </c>
      <c r="I37" s="541">
        <f t="shared" si="25"/>
        <v>24.42</v>
      </c>
      <c r="L37" s="551"/>
      <c r="M37" s="532">
        <f t="shared" si="21"/>
        <v>4.6805000000000003</v>
      </c>
      <c r="N37" s="532"/>
      <c r="O37" s="533"/>
      <c r="P37" s="532">
        <f t="shared" si="26"/>
        <v>4.6805000000000003</v>
      </c>
      <c r="Q37" s="532">
        <f t="shared" si="27"/>
        <v>56.166000000000004</v>
      </c>
      <c r="R37" s="541">
        <f t="shared" si="28"/>
        <v>28.083000000000002</v>
      </c>
      <c r="T37" s="541">
        <f t="shared" si="22"/>
        <v>52.503</v>
      </c>
    </row>
    <row r="38" spans="1:20">
      <c r="A38" s="538">
        <f t="shared" si="29"/>
        <v>7</v>
      </c>
      <c r="B38" s="539" t="s">
        <v>747</v>
      </c>
      <c r="C38" s="539" t="s">
        <v>748</v>
      </c>
      <c r="D38" s="532">
        <v>3.25</v>
      </c>
      <c r="E38" s="532"/>
      <c r="F38" s="533"/>
      <c r="G38" s="532">
        <f t="shared" si="23"/>
        <v>3.25</v>
      </c>
      <c r="H38" s="532">
        <f t="shared" si="24"/>
        <v>39</v>
      </c>
      <c r="I38" s="541">
        <f t="shared" si="25"/>
        <v>19.5</v>
      </c>
      <c r="L38" s="551"/>
      <c r="M38" s="532">
        <f t="shared" si="21"/>
        <v>3.7374999999999998</v>
      </c>
      <c r="N38" s="532"/>
      <c r="O38" s="533"/>
      <c r="P38" s="532">
        <f t="shared" si="26"/>
        <v>3.7374999999999998</v>
      </c>
      <c r="Q38" s="532">
        <f t="shared" si="27"/>
        <v>44.849999999999994</v>
      </c>
      <c r="R38" s="541">
        <f t="shared" si="28"/>
        <v>22.424999999999997</v>
      </c>
      <c r="T38" s="541">
        <f t="shared" si="22"/>
        <v>41.924999999999997</v>
      </c>
    </row>
    <row r="39" spans="1:20">
      <c r="A39" s="538">
        <f t="shared" si="29"/>
        <v>8</v>
      </c>
      <c r="B39" s="539" t="s">
        <v>749</v>
      </c>
      <c r="C39" s="539" t="s">
        <v>750</v>
      </c>
      <c r="D39" s="532">
        <v>3.25</v>
      </c>
      <c r="E39" s="532"/>
      <c r="F39" s="533"/>
      <c r="G39" s="532">
        <f t="shared" si="23"/>
        <v>3.25</v>
      </c>
      <c r="H39" s="532">
        <f t="shared" si="24"/>
        <v>39</v>
      </c>
      <c r="I39" s="541">
        <f t="shared" si="25"/>
        <v>19.5</v>
      </c>
      <c r="L39" s="551"/>
      <c r="M39" s="532">
        <f t="shared" si="21"/>
        <v>3.7374999999999998</v>
      </c>
      <c r="N39" s="532"/>
      <c r="O39" s="533"/>
      <c r="P39" s="532">
        <f t="shared" si="26"/>
        <v>3.7374999999999998</v>
      </c>
      <c r="Q39" s="532">
        <f t="shared" si="27"/>
        <v>44.849999999999994</v>
      </c>
      <c r="R39" s="541">
        <f t="shared" si="28"/>
        <v>22.424999999999997</v>
      </c>
      <c r="T39" s="541">
        <f t="shared" si="22"/>
        <v>41.924999999999997</v>
      </c>
    </row>
    <row r="40" spans="1:20">
      <c r="A40" s="538">
        <f t="shared" si="29"/>
        <v>9</v>
      </c>
      <c r="B40" s="539" t="s">
        <v>751</v>
      </c>
      <c r="C40" s="539" t="s">
        <v>746</v>
      </c>
      <c r="D40" s="532">
        <v>4.68</v>
      </c>
      <c r="E40" s="532"/>
      <c r="F40" s="533"/>
      <c r="G40" s="532">
        <f t="shared" si="23"/>
        <v>4.68</v>
      </c>
      <c r="H40" s="532">
        <f t="shared" si="24"/>
        <v>56.16</v>
      </c>
      <c r="I40" s="541">
        <f t="shared" si="25"/>
        <v>28.08</v>
      </c>
      <c r="L40" s="551"/>
      <c r="M40" s="532">
        <f t="shared" si="21"/>
        <v>5.3819999999999997</v>
      </c>
      <c r="N40" s="532">
        <f>F40*M40</f>
        <v>0</v>
      </c>
      <c r="O40" s="533"/>
      <c r="P40" s="532">
        <f t="shared" si="26"/>
        <v>5.3819999999999997</v>
      </c>
      <c r="Q40" s="532">
        <f t="shared" si="27"/>
        <v>64.584000000000003</v>
      </c>
      <c r="R40" s="541">
        <f t="shared" si="28"/>
        <v>32.292000000000002</v>
      </c>
      <c r="T40" s="541">
        <f t="shared" si="22"/>
        <v>60.372</v>
      </c>
    </row>
    <row r="41" spans="1:20">
      <c r="A41" s="554">
        <f t="shared" si="29"/>
        <v>10</v>
      </c>
      <c r="B41" s="555" t="s">
        <v>752</v>
      </c>
      <c r="C41" s="555" t="s">
        <v>753</v>
      </c>
      <c r="D41" s="556">
        <v>4</v>
      </c>
      <c r="E41" s="556"/>
      <c r="F41" s="557"/>
      <c r="G41" s="556">
        <f t="shared" si="23"/>
        <v>4</v>
      </c>
      <c r="H41" s="556">
        <f t="shared" si="24"/>
        <v>48</v>
      </c>
      <c r="I41" s="541">
        <f t="shared" si="25"/>
        <v>24</v>
      </c>
      <c r="J41" s="558"/>
      <c r="K41" s="558"/>
      <c r="L41" s="559"/>
      <c r="M41" s="556">
        <f t="shared" si="21"/>
        <v>4.5999999999999996</v>
      </c>
      <c r="N41" s="556"/>
      <c r="O41" s="557"/>
      <c r="P41" s="556">
        <f t="shared" si="26"/>
        <v>4.5999999999999996</v>
      </c>
      <c r="Q41" s="556">
        <f t="shared" si="27"/>
        <v>55.199999999999996</v>
      </c>
      <c r="R41" s="541">
        <f t="shared" si="28"/>
        <v>27.599999999999998</v>
      </c>
      <c r="S41" s="558"/>
      <c r="T41" s="541">
        <f t="shared" si="22"/>
        <v>51.599999999999994</v>
      </c>
    </row>
    <row r="42" spans="1:20">
      <c r="A42" s="538">
        <f t="shared" si="29"/>
        <v>11</v>
      </c>
      <c r="B42" s="539" t="s">
        <v>754</v>
      </c>
      <c r="C42" s="539" t="s">
        <v>755</v>
      </c>
      <c r="D42" s="532">
        <v>4.4000000000000004</v>
      </c>
      <c r="E42" s="532"/>
      <c r="F42" s="533"/>
      <c r="G42" s="532">
        <f t="shared" si="23"/>
        <v>4.4000000000000004</v>
      </c>
      <c r="H42" s="532">
        <f t="shared" si="24"/>
        <v>52.800000000000004</v>
      </c>
      <c r="I42" s="541">
        <f t="shared" si="25"/>
        <v>26.400000000000002</v>
      </c>
      <c r="L42" s="551"/>
      <c r="M42" s="532">
        <f t="shared" si="21"/>
        <v>5.0599999999999996</v>
      </c>
      <c r="N42" s="532">
        <v>0</v>
      </c>
      <c r="O42" s="533"/>
      <c r="P42" s="532">
        <f t="shared" si="26"/>
        <v>5.0599999999999996</v>
      </c>
      <c r="Q42" s="532">
        <f t="shared" si="27"/>
        <v>60.72</v>
      </c>
      <c r="R42" s="541">
        <f t="shared" si="28"/>
        <v>30.36</v>
      </c>
      <c r="T42" s="541">
        <f t="shared" si="22"/>
        <v>56.760000000000005</v>
      </c>
    </row>
    <row r="43" spans="1:20">
      <c r="A43" s="538">
        <f t="shared" si="29"/>
        <v>12</v>
      </c>
      <c r="B43" s="539" t="s">
        <v>756</v>
      </c>
      <c r="C43" s="539" t="s">
        <v>757</v>
      </c>
      <c r="D43" s="532">
        <v>3.36</v>
      </c>
      <c r="E43" s="532"/>
      <c r="F43" s="533"/>
      <c r="G43" s="532">
        <f t="shared" si="23"/>
        <v>3.36</v>
      </c>
      <c r="H43" s="532">
        <f t="shared" si="24"/>
        <v>40.32</v>
      </c>
      <c r="I43" s="541">
        <f t="shared" si="25"/>
        <v>20.16</v>
      </c>
      <c r="L43" s="551"/>
      <c r="M43" s="532">
        <f t="shared" si="21"/>
        <v>3.8639999999999994</v>
      </c>
      <c r="N43" s="532"/>
      <c r="O43" s="533"/>
      <c r="P43" s="532">
        <f t="shared" si="26"/>
        <v>3.8639999999999994</v>
      </c>
      <c r="Q43" s="532">
        <f t="shared" si="27"/>
        <v>46.367999999999995</v>
      </c>
      <c r="R43" s="541">
        <f t="shared" si="28"/>
        <v>23.183999999999997</v>
      </c>
      <c r="T43" s="541">
        <f t="shared" si="22"/>
        <v>43.343999999999994</v>
      </c>
    </row>
    <row r="44" spans="1:20">
      <c r="A44" s="538">
        <f t="shared" si="29"/>
        <v>13</v>
      </c>
      <c r="B44" s="539" t="s">
        <v>758</v>
      </c>
      <c r="C44" s="539" t="s">
        <v>757</v>
      </c>
      <c r="D44" s="532">
        <v>3.36</v>
      </c>
      <c r="E44" s="532"/>
      <c r="F44" s="533"/>
      <c r="G44" s="532">
        <f t="shared" si="23"/>
        <v>3.36</v>
      </c>
      <c r="H44" s="532">
        <f t="shared" si="24"/>
        <v>40.32</v>
      </c>
      <c r="I44" s="541">
        <f t="shared" si="25"/>
        <v>20.16</v>
      </c>
      <c r="L44" s="551"/>
      <c r="M44" s="532">
        <f t="shared" si="21"/>
        <v>3.8639999999999994</v>
      </c>
      <c r="N44" s="532"/>
      <c r="O44" s="533"/>
      <c r="P44" s="532">
        <f t="shared" si="26"/>
        <v>3.8639999999999994</v>
      </c>
      <c r="Q44" s="532">
        <f t="shared" si="27"/>
        <v>46.367999999999995</v>
      </c>
      <c r="R44" s="541">
        <f t="shared" si="28"/>
        <v>23.183999999999997</v>
      </c>
      <c r="T44" s="541">
        <f t="shared" si="22"/>
        <v>43.343999999999994</v>
      </c>
    </row>
    <row r="45" spans="1:20">
      <c r="A45" s="538">
        <f t="shared" si="29"/>
        <v>14</v>
      </c>
      <c r="B45" s="539" t="s">
        <v>759</v>
      </c>
      <c r="C45" s="539" t="s">
        <v>760</v>
      </c>
      <c r="D45" s="535">
        <v>1.82</v>
      </c>
      <c r="E45" s="535"/>
      <c r="F45" s="536"/>
      <c r="G45" s="535">
        <f t="shared" si="23"/>
        <v>1.82</v>
      </c>
      <c r="H45" s="535">
        <f t="shared" si="24"/>
        <v>21.84</v>
      </c>
      <c r="I45" s="542">
        <f t="shared" si="25"/>
        <v>10.92</v>
      </c>
      <c r="L45" s="551"/>
      <c r="M45" s="535">
        <f t="shared" si="21"/>
        <v>2.093</v>
      </c>
      <c r="N45" s="535"/>
      <c r="O45" s="536"/>
      <c r="P45" s="535">
        <f t="shared" si="26"/>
        <v>2.093</v>
      </c>
      <c r="Q45" s="535">
        <f t="shared" si="27"/>
        <v>25.116</v>
      </c>
      <c r="R45" s="542">
        <f t="shared" si="28"/>
        <v>12.558</v>
      </c>
      <c r="T45" s="542">
        <f t="shared" si="22"/>
        <v>23.478000000000002</v>
      </c>
    </row>
    <row r="46" spans="1:20" s="528" customFormat="1">
      <c r="A46" s="530"/>
      <c r="D46" s="537">
        <f>SUM(D32:D45)</f>
        <v>55.57</v>
      </c>
      <c r="E46" s="537">
        <f>SUM(E32:E45)</f>
        <v>0</v>
      </c>
      <c r="G46" s="537">
        <f t="shared" ref="G46" si="30">SUM(G32:G45)</f>
        <v>55.57</v>
      </c>
      <c r="H46" s="537">
        <f t="shared" ref="H46" si="31">SUM(H32:H45)</f>
        <v>666.84</v>
      </c>
      <c r="I46" s="543">
        <f t="shared" ref="I46" si="32">SUM(I32:I45)</f>
        <v>333.42</v>
      </c>
      <c r="L46" s="553"/>
      <c r="M46" s="537">
        <f>SUM(M32:M45)</f>
        <v>63.905499999999989</v>
      </c>
      <c r="N46" s="537">
        <f>SUM(N32:N45)</f>
        <v>0</v>
      </c>
      <c r="P46" s="537">
        <f t="shared" ref="P46" si="33">SUM(P32:P45)</f>
        <v>63.905499999999989</v>
      </c>
      <c r="Q46" s="537">
        <f t="shared" ref="Q46" si="34">SUM(Q32:Q45)</f>
        <v>766.86599999999999</v>
      </c>
      <c r="R46" s="543">
        <f t="shared" ref="R46" si="35">SUM(R32:R45)</f>
        <v>383.43299999999999</v>
      </c>
      <c r="T46" s="543">
        <f t="shared" ref="T46" si="36">SUM(T32:T45)</f>
        <v>716.85299999999995</v>
      </c>
    </row>
    <row r="51" spans="1:20">
      <c r="D51" s="885" t="s">
        <v>285</v>
      </c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</row>
    <row r="52" spans="1:20" s="528" customFormat="1">
      <c r="A52" s="530"/>
      <c r="D52" s="886" t="s">
        <v>776</v>
      </c>
      <c r="E52" s="886"/>
      <c r="F52" s="886"/>
      <c r="G52" s="886"/>
      <c r="H52" s="886"/>
      <c r="I52" s="886"/>
      <c r="J52" s="548"/>
      <c r="K52" s="548"/>
      <c r="L52" s="549"/>
      <c r="M52" s="885" t="s">
        <v>777</v>
      </c>
      <c r="N52" s="885"/>
      <c r="O52" s="885"/>
      <c r="P52" s="885"/>
      <c r="Q52" s="885"/>
      <c r="R52" s="885"/>
      <c r="T52" s="544" t="s">
        <v>775</v>
      </c>
    </row>
    <row r="53" spans="1:20" s="528" customFormat="1">
      <c r="A53" s="530"/>
      <c r="D53" s="529" t="s">
        <v>761</v>
      </c>
      <c r="E53" s="529" t="s">
        <v>762</v>
      </c>
      <c r="F53" s="529" t="s">
        <v>773</v>
      </c>
      <c r="G53" s="529" t="s">
        <v>763</v>
      </c>
      <c r="H53" s="529" t="s">
        <v>779</v>
      </c>
      <c r="I53" s="540" t="s">
        <v>774</v>
      </c>
      <c r="L53" s="550"/>
      <c r="M53" s="529" t="s">
        <v>761</v>
      </c>
      <c r="N53" s="529" t="s">
        <v>762</v>
      </c>
      <c r="O53" s="529" t="s">
        <v>773</v>
      </c>
      <c r="P53" s="529" t="s">
        <v>763</v>
      </c>
      <c r="Q53" s="529" t="s">
        <v>764</v>
      </c>
      <c r="R53" s="540" t="s">
        <v>774</v>
      </c>
      <c r="T53" s="540" t="s">
        <v>0</v>
      </c>
    </row>
    <row r="54" spans="1:20">
      <c r="A54" s="538">
        <v>1</v>
      </c>
      <c r="B54" s="539" t="s">
        <v>736</v>
      </c>
      <c r="C54" s="539" t="s">
        <v>737</v>
      </c>
      <c r="D54" s="532">
        <v>9.83</v>
      </c>
      <c r="E54" s="532"/>
      <c r="F54" s="533"/>
      <c r="G54" s="532">
        <f>D54-E54</f>
        <v>9.83</v>
      </c>
      <c r="H54" s="532">
        <f>G54*12</f>
        <v>117.96000000000001</v>
      </c>
      <c r="I54" s="541">
        <f>H54/2</f>
        <v>58.980000000000004</v>
      </c>
      <c r="L54" s="551"/>
      <c r="M54" s="532">
        <f t="shared" ref="M54:M67" si="37">D54*(1+0.15)</f>
        <v>11.304499999999999</v>
      </c>
      <c r="N54" s="532">
        <v>0</v>
      </c>
      <c r="O54" s="533"/>
      <c r="P54" s="532">
        <f>M54-N54</f>
        <v>11.304499999999999</v>
      </c>
      <c r="Q54" s="532">
        <f>P54*12</f>
        <v>135.654</v>
      </c>
      <c r="R54" s="541">
        <f>Q54/2</f>
        <v>67.826999999999998</v>
      </c>
      <c r="T54" s="541">
        <f t="shared" ref="T54:T67" si="38">I54+R54</f>
        <v>126.807</v>
      </c>
    </row>
    <row r="55" spans="1:20" s="562" customFormat="1">
      <c r="A55" s="560">
        <f>A54+1</f>
        <v>2</v>
      </c>
      <c r="B55" s="561" t="s">
        <v>780</v>
      </c>
      <c r="C55" s="561" t="s">
        <v>738</v>
      </c>
      <c r="D55" s="556">
        <v>9.83</v>
      </c>
      <c r="E55" s="556"/>
      <c r="F55" s="557"/>
      <c r="G55" s="556">
        <f t="shared" ref="G55:G67" si="39">D55-E55</f>
        <v>9.83</v>
      </c>
      <c r="H55" s="556">
        <f t="shared" ref="H55:H67" si="40">G55*12</f>
        <v>117.96000000000001</v>
      </c>
      <c r="I55" s="541">
        <f t="shared" ref="I55:I67" si="41">H55/2</f>
        <v>58.980000000000004</v>
      </c>
      <c r="L55" s="559"/>
      <c r="M55" s="556">
        <f t="shared" si="37"/>
        <v>11.304499999999999</v>
      </c>
      <c r="N55" s="556">
        <f>F55*M55</f>
        <v>0</v>
      </c>
      <c r="O55" s="557"/>
      <c r="P55" s="556">
        <f t="shared" ref="P55:P67" si="42">M55-N55</f>
        <v>11.304499999999999</v>
      </c>
      <c r="Q55" s="556">
        <f t="shared" ref="Q55:Q67" si="43">P55*12</f>
        <v>135.654</v>
      </c>
      <c r="R55" s="541">
        <f t="shared" ref="R55:R67" si="44">Q55/2</f>
        <v>67.826999999999998</v>
      </c>
      <c r="T55" s="541">
        <f t="shared" si="38"/>
        <v>126.807</v>
      </c>
    </row>
    <row r="56" spans="1:20">
      <c r="A56" s="538">
        <f t="shared" ref="A56:A67" si="45">A55+1</f>
        <v>3</v>
      </c>
      <c r="B56" s="539" t="s">
        <v>739</v>
      </c>
      <c r="C56" s="539" t="s">
        <v>740</v>
      </c>
      <c r="D56" s="532">
        <v>5.75</v>
      </c>
      <c r="E56" s="532"/>
      <c r="F56" s="533"/>
      <c r="G56" s="532">
        <f t="shared" si="39"/>
        <v>5.75</v>
      </c>
      <c r="H56" s="532">
        <f t="shared" si="40"/>
        <v>69</v>
      </c>
      <c r="I56" s="541">
        <f t="shared" si="41"/>
        <v>34.5</v>
      </c>
      <c r="L56" s="551"/>
      <c r="M56" s="532">
        <f t="shared" si="37"/>
        <v>6.6124999999999998</v>
      </c>
      <c r="N56" s="532">
        <v>0</v>
      </c>
      <c r="O56" s="533"/>
      <c r="P56" s="532">
        <f t="shared" si="42"/>
        <v>6.6124999999999998</v>
      </c>
      <c r="Q56" s="532">
        <f t="shared" si="43"/>
        <v>79.349999999999994</v>
      </c>
      <c r="R56" s="541">
        <f t="shared" si="44"/>
        <v>39.674999999999997</v>
      </c>
      <c r="T56" s="541">
        <f t="shared" si="38"/>
        <v>74.174999999999997</v>
      </c>
    </row>
    <row r="57" spans="1:20">
      <c r="A57" s="538">
        <f t="shared" si="45"/>
        <v>4</v>
      </c>
      <c r="B57" s="539" t="s">
        <v>741</v>
      </c>
      <c r="C57" s="539" t="s">
        <v>742</v>
      </c>
      <c r="D57" s="532">
        <v>8.73</v>
      </c>
      <c r="E57" s="532"/>
      <c r="F57" s="533"/>
      <c r="G57" s="532">
        <f t="shared" si="39"/>
        <v>8.73</v>
      </c>
      <c r="H57" s="532">
        <f t="shared" si="40"/>
        <v>104.76</v>
      </c>
      <c r="I57" s="541">
        <f t="shared" si="41"/>
        <v>52.38</v>
      </c>
      <c r="L57" s="551"/>
      <c r="M57" s="532">
        <f t="shared" si="37"/>
        <v>10.0395</v>
      </c>
      <c r="N57" s="532">
        <f>F57*M57</f>
        <v>0</v>
      </c>
      <c r="O57" s="533"/>
      <c r="P57" s="532">
        <f t="shared" si="42"/>
        <v>10.0395</v>
      </c>
      <c r="Q57" s="532">
        <f t="shared" si="43"/>
        <v>120.474</v>
      </c>
      <c r="R57" s="541">
        <f t="shared" si="44"/>
        <v>60.237000000000002</v>
      </c>
      <c r="T57" s="541">
        <f t="shared" si="38"/>
        <v>112.617</v>
      </c>
    </row>
    <row r="58" spans="1:20">
      <c r="A58" s="538">
        <f t="shared" si="45"/>
        <v>5</v>
      </c>
      <c r="B58" s="539" t="s">
        <v>743</v>
      </c>
      <c r="C58" s="539" t="s">
        <v>744</v>
      </c>
      <c r="D58" s="532">
        <v>7.42</v>
      </c>
      <c r="E58" s="532"/>
      <c r="F58" s="533"/>
      <c r="G58" s="532">
        <f t="shared" si="39"/>
        <v>7.42</v>
      </c>
      <c r="H58" s="532">
        <f t="shared" si="40"/>
        <v>89.039999999999992</v>
      </c>
      <c r="I58" s="541">
        <f t="shared" si="41"/>
        <v>44.519999999999996</v>
      </c>
      <c r="L58" s="551"/>
      <c r="M58" s="532">
        <f t="shared" si="37"/>
        <v>8.5329999999999995</v>
      </c>
      <c r="N58" s="532">
        <v>0</v>
      </c>
      <c r="O58" s="533"/>
      <c r="P58" s="532">
        <f t="shared" si="42"/>
        <v>8.5329999999999995</v>
      </c>
      <c r="Q58" s="532">
        <f t="shared" si="43"/>
        <v>102.39599999999999</v>
      </c>
      <c r="R58" s="541">
        <f t="shared" si="44"/>
        <v>51.197999999999993</v>
      </c>
      <c r="T58" s="541">
        <f t="shared" si="38"/>
        <v>95.717999999999989</v>
      </c>
    </row>
    <row r="59" spans="1:20">
      <c r="A59" s="538">
        <f t="shared" si="45"/>
        <v>6</v>
      </c>
      <c r="B59" s="539" t="s">
        <v>745</v>
      </c>
      <c r="C59" s="539" t="s">
        <v>746</v>
      </c>
      <c r="D59" s="532">
        <v>9.83</v>
      </c>
      <c r="E59" s="532"/>
      <c r="F59" s="533"/>
      <c r="G59" s="532">
        <f t="shared" si="39"/>
        <v>9.83</v>
      </c>
      <c r="H59" s="532">
        <f t="shared" si="40"/>
        <v>117.96000000000001</v>
      </c>
      <c r="I59" s="541">
        <f t="shared" si="41"/>
        <v>58.980000000000004</v>
      </c>
      <c r="L59" s="551"/>
      <c r="M59" s="532">
        <f t="shared" si="37"/>
        <v>11.304499999999999</v>
      </c>
      <c r="N59" s="532"/>
      <c r="O59" s="533"/>
      <c r="P59" s="532">
        <f t="shared" si="42"/>
        <v>11.304499999999999</v>
      </c>
      <c r="Q59" s="532">
        <f t="shared" si="43"/>
        <v>135.654</v>
      </c>
      <c r="R59" s="541">
        <f t="shared" si="44"/>
        <v>67.826999999999998</v>
      </c>
      <c r="T59" s="541">
        <f t="shared" si="38"/>
        <v>126.807</v>
      </c>
    </row>
    <row r="60" spans="1:20">
      <c r="A60" s="538">
        <f t="shared" si="45"/>
        <v>7</v>
      </c>
      <c r="B60" s="539" t="s">
        <v>747</v>
      </c>
      <c r="C60" s="539" t="s">
        <v>748</v>
      </c>
      <c r="D60" s="532">
        <v>9.83</v>
      </c>
      <c r="E60" s="532"/>
      <c r="F60" s="533"/>
      <c r="G60" s="532">
        <f t="shared" si="39"/>
        <v>9.83</v>
      </c>
      <c r="H60" s="532">
        <f t="shared" si="40"/>
        <v>117.96000000000001</v>
      </c>
      <c r="I60" s="541">
        <f t="shared" si="41"/>
        <v>58.980000000000004</v>
      </c>
      <c r="L60" s="551"/>
      <c r="M60" s="532">
        <f t="shared" si="37"/>
        <v>11.304499999999999</v>
      </c>
      <c r="N60" s="532"/>
      <c r="O60" s="533"/>
      <c r="P60" s="532">
        <f t="shared" si="42"/>
        <v>11.304499999999999</v>
      </c>
      <c r="Q60" s="532">
        <f t="shared" si="43"/>
        <v>135.654</v>
      </c>
      <c r="R60" s="541">
        <f t="shared" si="44"/>
        <v>67.826999999999998</v>
      </c>
      <c r="T60" s="541">
        <f t="shared" si="38"/>
        <v>126.807</v>
      </c>
    </row>
    <row r="61" spans="1:20">
      <c r="A61" s="538">
        <f t="shared" si="45"/>
        <v>8</v>
      </c>
      <c r="B61" s="539" t="s">
        <v>749</v>
      </c>
      <c r="C61" s="539" t="s">
        <v>750</v>
      </c>
      <c r="D61" s="532">
        <v>9.83</v>
      </c>
      <c r="E61" s="532"/>
      <c r="F61" s="533"/>
      <c r="G61" s="532">
        <f t="shared" si="39"/>
        <v>9.83</v>
      </c>
      <c r="H61" s="532">
        <f t="shared" si="40"/>
        <v>117.96000000000001</v>
      </c>
      <c r="I61" s="541">
        <f t="shared" si="41"/>
        <v>58.980000000000004</v>
      </c>
      <c r="L61" s="551"/>
      <c r="M61" s="532">
        <f t="shared" si="37"/>
        <v>11.304499999999999</v>
      </c>
      <c r="N61" s="532"/>
      <c r="O61" s="533"/>
      <c r="P61" s="532">
        <f t="shared" si="42"/>
        <v>11.304499999999999</v>
      </c>
      <c r="Q61" s="532">
        <f t="shared" si="43"/>
        <v>135.654</v>
      </c>
      <c r="R61" s="541">
        <f t="shared" si="44"/>
        <v>67.826999999999998</v>
      </c>
      <c r="T61" s="541">
        <f t="shared" si="38"/>
        <v>126.807</v>
      </c>
    </row>
    <row r="62" spans="1:20">
      <c r="A62" s="538">
        <f t="shared" si="45"/>
        <v>9</v>
      </c>
      <c r="B62" s="539" t="s">
        <v>751</v>
      </c>
      <c r="C62" s="539" t="s">
        <v>746</v>
      </c>
      <c r="D62" s="532">
        <v>9.2799999999999994</v>
      </c>
      <c r="E62" s="532"/>
      <c r="F62" s="533"/>
      <c r="G62" s="532">
        <f t="shared" si="39"/>
        <v>9.2799999999999994</v>
      </c>
      <c r="H62" s="532">
        <f t="shared" si="40"/>
        <v>111.35999999999999</v>
      </c>
      <c r="I62" s="541">
        <f t="shared" si="41"/>
        <v>55.679999999999993</v>
      </c>
      <c r="L62" s="551"/>
      <c r="M62" s="532">
        <f t="shared" si="37"/>
        <v>10.671999999999999</v>
      </c>
      <c r="N62" s="532">
        <f>F62*M62</f>
        <v>0</v>
      </c>
      <c r="O62" s="533"/>
      <c r="P62" s="532">
        <f t="shared" si="42"/>
        <v>10.671999999999999</v>
      </c>
      <c r="Q62" s="532">
        <f t="shared" si="43"/>
        <v>128.06399999999999</v>
      </c>
      <c r="R62" s="541">
        <f t="shared" si="44"/>
        <v>64.031999999999996</v>
      </c>
      <c r="T62" s="541">
        <f t="shared" si="38"/>
        <v>119.71199999999999</v>
      </c>
    </row>
    <row r="63" spans="1:20">
      <c r="A63" s="554">
        <f t="shared" si="45"/>
        <v>10</v>
      </c>
      <c r="B63" s="555" t="s">
        <v>752</v>
      </c>
      <c r="C63" s="555" t="s">
        <v>753</v>
      </c>
      <c r="D63" s="556">
        <v>7</v>
      </c>
      <c r="E63" s="556"/>
      <c r="F63" s="557"/>
      <c r="G63" s="556">
        <f t="shared" si="39"/>
        <v>7</v>
      </c>
      <c r="H63" s="556">
        <f t="shared" si="40"/>
        <v>84</v>
      </c>
      <c r="I63" s="541">
        <f t="shared" si="41"/>
        <v>42</v>
      </c>
      <c r="J63" s="558"/>
      <c r="K63" s="558"/>
      <c r="L63" s="559"/>
      <c r="M63" s="556">
        <f t="shared" si="37"/>
        <v>8.0499999999999989</v>
      </c>
      <c r="N63" s="556"/>
      <c r="O63" s="557"/>
      <c r="P63" s="556">
        <f t="shared" si="42"/>
        <v>8.0499999999999989</v>
      </c>
      <c r="Q63" s="556">
        <f t="shared" si="43"/>
        <v>96.6</v>
      </c>
      <c r="R63" s="541">
        <f t="shared" si="44"/>
        <v>48.3</v>
      </c>
      <c r="S63" s="558"/>
      <c r="T63" s="541">
        <f t="shared" si="38"/>
        <v>90.3</v>
      </c>
    </row>
    <row r="64" spans="1:20">
      <c r="A64" s="538">
        <f t="shared" si="45"/>
        <v>11</v>
      </c>
      <c r="B64" s="539" t="s">
        <v>754</v>
      </c>
      <c r="C64" s="539" t="s">
        <v>755</v>
      </c>
      <c r="D64" s="532">
        <v>8.73</v>
      </c>
      <c r="E64" s="532"/>
      <c r="F64" s="533"/>
      <c r="G64" s="532">
        <f t="shared" si="39"/>
        <v>8.73</v>
      </c>
      <c r="H64" s="532">
        <f t="shared" si="40"/>
        <v>104.76</v>
      </c>
      <c r="I64" s="541">
        <f t="shared" si="41"/>
        <v>52.38</v>
      </c>
      <c r="L64" s="551"/>
      <c r="M64" s="532">
        <f t="shared" si="37"/>
        <v>10.0395</v>
      </c>
      <c r="N64" s="532">
        <v>0</v>
      </c>
      <c r="O64" s="533"/>
      <c r="P64" s="532">
        <f t="shared" si="42"/>
        <v>10.0395</v>
      </c>
      <c r="Q64" s="532">
        <f t="shared" si="43"/>
        <v>120.474</v>
      </c>
      <c r="R64" s="541">
        <f t="shared" si="44"/>
        <v>60.237000000000002</v>
      </c>
      <c r="T64" s="541">
        <f t="shared" si="38"/>
        <v>112.617</v>
      </c>
    </row>
    <row r="65" spans="1:20">
      <c r="A65" s="538">
        <f t="shared" si="45"/>
        <v>12</v>
      </c>
      <c r="B65" s="539" t="s">
        <v>756</v>
      </c>
      <c r="C65" s="539" t="s">
        <v>757</v>
      </c>
      <c r="D65" s="532">
        <v>9.83</v>
      </c>
      <c r="E65" s="532"/>
      <c r="F65" s="533"/>
      <c r="G65" s="532">
        <f t="shared" si="39"/>
        <v>9.83</v>
      </c>
      <c r="H65" s="532">
        <f t="shared" si="40"/>
        <v>117.96000000000001</v>
      </c>
      <c r="I65" s="541">
        <f t="shared" si="41"/>
        <v>58.980000000000004</v>
      </c>
      <c r="L65" s="551"/>
      <c r="M65" s="532">
        <f t="shared" si="37"/>
        <v>11.304499999999999</v>
      </c>
      <c r="N65" s="532"/>
      <c r="O65" s="533"/>
      <c r="P65" s="532">
        <f t="shared" si="42"/>
        <v>11.304499999999999</v>
      </c>
      <c r="Q65" s="532">
        <f t="shared" si="43"/>
        <v>135.654</v>
      </c>
      <c r="R65" s="541">
        <f t="shared" si="44"/>
        <v>67.826999999999998</v>
      </c>
      <c r="T65" s="541">
        <f t="shared" si="38"/>
        <v>126.807</v>
      </c>
    </row>
    <row r="66" spans="1:20">
      <c r="A66" s="538">
        <f t="shared" si="45"/>
        <v>13</v>
      </c>
      <c r="B66" s="539" t="s">
        <v>758</v>
      </c>
      <c r="C66" s="539" t="s">
        <v>757</v>
      </c>
      <c r="D66" s="532">
        <v>6.66</v>
      </c>
      <c r="E66" s="532"/>
      <c r="F66" s="533"/>
      <c r="G66" s="532">
        <f t="shared" si="39"/>
        <v>6.66</v>
      </c>
      <c r="H66" s="532">
        <f t="shared" si="40"/>
        <v>79.92</v>
      </c>
      <c r="I66" s="541">
        <f t="shared" si="41"/>
        <v>39.96</v>
      </c>
      <c r="L66" s="551"/>
      <c r="M66" s="532">
        <f t="shared" si="37"/>
        <v>7.6589999999999998</v>
      </c>
      <c r="N66" s="532"/>
      <c r="O66" s="533"/>
      <c r="P66" s="532">
        <f t="shared" si="42"/>
        <v>7.6589999999999998</v>
      </c>
      <c r="Q66" s="532">
        <f t="shared" si="43"/>
        <v>91.908000000000001</v>
      </c>
      <c r="R66" s="541">
        <f t="shared" si="44"/>
        <v>45.954000000000001</v>
      </c>
      <c r="T66" s="541">
        <f t="shared" si="38"/>
        <v>85.914000000000001</v>
      </c>
    </row>
    <row r="67" spans="1:20">
      <c r="A67" s="538">
        <f t="shared" si="45"/>
        <v>14</v>
      </c>
      <c r="B67" s="539" t="s">
        <v>759</v>
      </c>
      <c r="C67" s="539" t="s">
        <v>760</v>
      </c>
      <c r="D67" s="535">
        <v>3.6</v>
      </c>
      <c r="E67" s="535"/>
      <c r="F67" s="536"/>
      <c r="G67" s="535">
        <f t="shared" si="39"/>
        <v>3.6</v>
      </c>
      <c r="H67" s="535">
        <f t="shared" si="40"/>
        <v>43.2</v>
      </c>
      <c r="I67" s="542">
        <f t="shared" si="41"/>
        <v>21.6</v>
      </c>
      <c r="L67" s="551"/>
      <c r="M67" s="535">
        <f t="shared" si="37"/>
        <v>4.1399999999999997</v>
      </c>
      <c r="N67" s="535"/>
      <c r="O67" s="536"/>
      <c r="P67" s="535">
        <f t="shared" si="42"/>
        <v>4.1399999999999997</v>
      </c>
      <c r="Q67" s="535">
        <f t="shared" si="43"/>
        <v>49.679999999999993</v>
      </c>
      <c r="R67" s="542">
        <f t="shared" si="44"/>
        <v>24.839999999999996</v>
      </c>
      <c r="T67" s="542">
        <f t="shared" si="38"/>
        <v>46.44</v>
      </c>
    </row>
    <row r="68" spans="1:20" s="528" customFormat="1">
      <c r="A68" s="530"/>
      <c r="D68" s="537">
        <f>SUM(D54:D67)</f>
        <v>116.14999999999999</v>
      </c>
      <c r="E68" s="537">
        <f>SUM(E54:E67)</f>
        <v>0</v>
      </c>
      <c r="G68" s="537">
        <f t="shared" ref="G68" si="46">SUM(G54:G67)</f>
        <v>116.14999999999999</v>
      </c>
      <c r="H68" s="537">
        <f t="shared" ref="H68" si="47">SUM(H54:H67)</f>
        <v>1393.8000000000002</v>
      </c>
      <c r="I68" s="543">
        <f t="shared" ref="I68" si="48">SUM(I54:I67)</f>
        <v>696.90000000000009</v>
      </c>
      <c r="L68" s="553"/>
      <c r="M68" s="537">
        <f>SUM(M54:M67)</f>
        <v>133.57249999999999</v>
      </c>
      <c r="N68" s="537">
        <f>SUM(N54:N67)</f>
        <v>0</v>
      </c>
      <c r="P68" s="537">
        <f t="shared" ref="P68" si="49">SUM(P54:P67)</f>
        <v>133.57249999999999</v>
      </c>
      <c r="Q68" s="537">
        <f t="shared" ref="Q68" si="50">SUM(Q54:Q67)</f>
        <v>1602.87</v>
      </c>
      <c r="R68" s="543">
        <f t="shared" ref="R68" si="51">SUM(R54:R67)</f>
        <v>801.43499999999995</v>
      </c>
      <c r="T68" s="543">
        <f t="shared" ref="T68" si="52">SUM(T54:T67)</f>
        <v>1498.335</v>
      </c>
    </row>
    <row r="70" spans="1:20">
      <c r="D70" s="885" t="s">
        <v>289</v>
      </c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</row>
    <row r="71" spans="1:20" s="528" customFormat="1">
      <c r="A71" s="530"/>
      <c r="D71" s="886" t="s">
        <v>776</v>
      </c>
      <c r="E71" s="886"/>
      <c r="F71" s="886"/>
      <c r="G71" s="886"/>
      <c r="H71" s="886"/>
      <c r="I71" s="886"/>
      <c r="J71" s="548"/>
      <c r="K71" s="548"/>
      <c r="L71" s="549"/>
      <c r="M71" s="885" t="s">
        <v>777</v>
      </c>
      <c r="N71" s="885"/>
      <c r="O71" s="885"/>
      <c r="P71" s="885"/>
      <c r="Q71" s="885"/>
      <c r="R71" s="885"/>
      <c r="T71" s="544" t="s">
        <v>775</v>
      </c>
    </row>
    <row r="72" spans="1:20" s="528" customFormat="1">
      <c r="A72" s="530"/>
      <c r="D72" s="529" t="s">
        <v>761</v>
      </c>
      <c r="E72" s="529" t="s">
        <v>762</v>
      </c>
      <c r="F72" s="529" t="s">
        <v>773</v>
      </c>
      <c r="G72" s="529" t="s">
        <v>763</v>
      </c>
      <c r="H72" s="529" t="s">
        <v>779</v>
      </c>
      <c r="I72" s="540" t="s">
        <v>774</v>
      </c>
      <c r="L72" s="550"/>
      <c r="M72" s="529" t="s">
        <v>761</v>
      </c>
      <c r="N72" s="529" t="s">
        <v>762</v>
      </c>
      <c r="O72" s="529" t="s">
        <v>773</v>
      </c>
      <c r="P72" s="529" t="s">
        <v>763</v>
      </c>
      <c r="Q72" s="529" t="s">
        <v>764</v>
      </c>
      <c r="R72" s="540" t="s">
        <v>774</v>
      </c>
      <c r="T72" s="540" t="s">
        <v>0</v>
      </c>
    </row>
    <row r="73" spans="1:20">
      <c r="A73" s="538">
        <v>1</v>
      </c>
      <c r="B73" s="539" t="s">
        <v>736</v>
      </c>
      <c r="C73" s="539" t="s">
        <v>737</v>
      </c>
      <c r="D73" s="532">
        <v>65.55</v>
      </c>
      <c r="E73" s="532"/>
      <c r="F73" s="533"/>
      <c r="G73" s="532">
        <f>D73-E73</f>
        <v>65.55</v>
      </c>
      <c r="H73" s="532">
        <f>G73*12</f>
        <v>786.59999999999991</v>
      </c>
      <c r="I73" s="541">
        <f>H73/2</f>
        <v>393.29999999999995</v>
      </c>
      <c r="L73" s="551"/>
      <c r="M73" s="532">
        <f t="shared" ref="M73:M86" si="53">D73*(1+0.15)</f>
        <v>75.382499999999993</v>
      </c>
      <c r="N73" s="532">
        <v>0</v>
      </c>
      <c r="O73" s="533"/>
      <c r="P73" s="532">
        <f>M73-N73</f>
        <v>75.382499999999993</v>
      </c>
      <c r="Q73" s="532">
        <f>P73*12</f>
        <v>904.58999999999992</v>
      </c>
      <c r="R73" s="541">
        <f>Q73/2</f>
        <v>452.29499999999996</v>
      </c>
      <c r="T73" s="541">
        <f t="shared" ref="T73:T86" si="54">I73+R73</f>
        <v>845.59499999999991</v>
      </c>
    </row>
    <row r="74" spans="1:20" s="562" customFormat="1">
      <c r="A74" s="560">
        <f>A73+1</f>
        <v>2</v>
      </c>
      <c r="B74" s="561" t="s">
        <v>780</v>
      </c>
      <c r="C74" s="561" t="s">
        <v>738</v>
      </c>
      <c r="D74" s="556">
        <v>45.4</v>
      </c>
      <c r="E74" s="556"/>
      <c r="F74" s="557"/>
      <c r="G74" s="556">
        <f t="shared" ref="G74:G86" si="55">D74-E74</f>
        <v>45.4</v>
      </c>
      <c r="H74" s="556">
        <f t="shared" ref="H74:H86" si="56">G74*12</f>
        <v>544.79999999999995</v>
      </c>
      <c r="I74" s="541">
        <f t="shared" ref="I74:I86" si="57">H74/2</f>
        <v>272.39999999999998</v>
      </c>
      <c r="L74" s="559"/>
      <c r="M74" s="556">
        <f t="shared" si="53"/>
        <v>52.209999999999994</v>
      </c>
      <c r="N74" s="556">
        <f>F74*M74</f>
        <v>0</v>
      </c>
      <c r="O74" s="557"/>
      <c r="P74" s="556">
        <f t="shared" ref="P74:P86" si="58">M74-N74</f>
        <v>52.209999999999994</v>
      </c>
      <c r="Q74" s="556">
        <f t="shared" ref="Q74:Q86" si="59">P74*12</f>
        <v>626.52</v>
      </c>
      <c r="R74" s="541">
        <f t="shared" ref="R74:R86" si="60">Q74/2</f>
        <v>313.26</v>
      </c>
      <c r="T74" s="541">
        <f t="shared" si="54"/>
        <v>585.66</v>
      </c>
    </row>
    <row r="75" spans="1:20">
      <c r="A75" s="538">
        <f t="shared" ref="A75:A86" si="61">A74+1</f>
        <v>3</v>
      </c>
      <c r="B75" s="539" t="s">
        <v>739</v>
      </c>
      <c r="C75" s="539" t="s">
        <v>740</v>
      </c>
      <c r="D75" s="532">
        <v>26.57</v>
      </c>
      <c r="E75" s="532"/>
      <c r="F75" s="533"/>
      <c r="G75" s="532">
        <f t="shared" si="55"/>
        <v>26.57</v>
      </c>
      <c r="H75" s="532">
        <f t="shared" si="56"/>
        <v>318.84000000000003</v>
      </c>
      <c r="I75" s="541">
        <f t="shared" si="57"/>
        <v>159.42000000000002</v>
      </c>
      <c r="L75" s="551"/>
      <c r="M75" s="532">
        <f t="shared" si="53"/>
        <v>30.555499999999999</v>
      </c>
      <c r="N75" s="532">
        <v>0</v>
      </c>
      <c r="O75" s="533"/>
      <c r="P75" s="532">
        <f t="shared" si="58"/>
        <v>30.555499999999999</v>
      </c>
      <c r="Q75" s="532">
        <f t="shared" si="59"/>
        <v>366.666</v>
      </c>
      <c r="R75" s="541">
        <f t="shared" si="60"/>
        <v>183.333</v>
      </c>
      <c r="T75" s="541">
        <f t="shared" si="54"/>
        <v>342.75300000000004</v>
      </c>
    </row>
    <row r="76" spans="1:20">
      <c r="A76" s="538">
        <f t="shared" si="61"/>
        <v>4</v>
      </c>
      <c r="B76" s="539" t="s">
        <v>741</v>
      </c>
      <c r="C76" s="539" t="s">
        <v>742</v>
      </c>
      <c r="D76" s="532">
        <v>40.380000000000003</v>
      </c>
      <c r="E76" s="532"/>
      <c r="F76" s="533"/>
      <c r="G76" s="532">
        <f t="shared" si="55"/>
        <v>40.380000000000003</v>
      </c>
      <c r="H76" s="532">
        <f t="shared" si="56"/>
        <v>484.56000000000006</v>
      </c>
      <c r="I76" s="541">
        <f t="shared" si="57"/>
        <v>242.28000000000003</v>
      </c>
      <c r="L76" s="551"/>
      <c r="M76" s="532">
        <f t="shared" si="53"/>
        <v>46.436999999999998</v>
      </c>
      <c r="N76" s="532">
        <f>F76*M76</f>
        <v>0</v>
      </c>
      <c r="O76" s="533"/>
      <c r="P76" s="532">
        <f t="shared" si="58"/>
        <v>46.436999999999998</v>
      </c>
      <c r="Q76" s="532">
        <f t="shared" si="59"/>
        <v>557.24399999999991</v>
      </c>
      <c r="R76" s="541">
        <f t="shared" si="60"/>
        <v>278.62199999999996</v>
      </c>
      <c r="T76" s="541">
        <f t="shared" si="54"/>
        <v>520.90200000000004</v>
      </c>
    </row>
    <row r="77" spans="1:20">
      <c r="A77" s="538">
        <f t="shared" si="61"/>
        <v>5</v>
      </c>
      <c r="B77" s="539" t="s">
        <v>743</v>
      </c>
      <c r="C77" s="539" t="s">
        <v>744</v>
      </c>
      <c r="D77" s="532">
        <v>34.299999999999997</v>
      </c>
      <c r="E77" s="532"/>
      <c r="F77" s="533"/>
      <c r="G77" s="532">
        <f t="shared" si="55"/>
        <v>34.299999999999997</v>
      </c>
      <c r="H77" s="532">
        <f t="shared" si="56"/>
        <v>411.59999999999997</v>
      </c>
      <c r="I77" s="541">
        <f t="shared" si="57"/>
        <v>205.79999999999998</v>
      </c>
      <c r="L77" s="551"/>
      <c r="M77" s="532">
        <f t="shared" si="53"/>
        <v>39.444999999999993</v>
      </c>
      <c r="N77" s="532">
        <v>0</v>
      </c>
      <c r="O77" s="533"/>
      <c r="P77" s="532">
        <f t="shared" si="58"/>
        <v>39.444999999999993</v>
      </c>
      <c r="Q77" s="532">
        <f t="shared" si="59"/>
        <v>473.33999999999992</v>
      </c>
      <c r="R77" s="541">
        <f t="shared" si="60"/>
        <v>236.66999999999996</v>
      </c>
      <c r="T77" s="541">
        <f t="shared" si="54"/>
        <v>442.46999999999991</v>
      </c>
    </row>
    <row r="78" spans="1:20">
      <c r="A78" s="538">
        <f t="shared" si="61"/>
        <v>6</v>
      </c>
      <c r="B78" s="539" t="s">
        <v>745</v>
      </c>
      <c r="C78" s="539" t="s">
        <v>746</v>
      </c>
      <c r="D78" s="532">
        <v>65.55</v>
      </c>
      <c r="E78" s="532"/>
      <c r="F78" s="533"/>
      <c r="G78" s="532">
        <f t="shared" si="55"/>
        <v>65.55</v>
      </c>
      <c r="H78" s="532">
        <f t="shared" si="56"/>
        <v>786.59999999999991</v>
      </c>
      <c r="I78" s="541">
        <f t="shared" si="57"/>
        <v>393.29999999999995</v>
      </c>
      <c r="L78" s="551"/>
      <c r="M78" s="532">
        <f t="shared" si="53"/>
        <v>75.382499999999993</v>
      </c>
      <c r="N78" s="532"/>
      <c r="O78" s="533"/>
      <c r="P78" s="532">
        <f t="shared" si="58"/>
        <v>75.382499999999993</v>
      </c>
      <c r="Q78" s="532">
        <f t="shared" si="59"/>
        <v>904.58999999999992</v>
      </c>
      <c r="R78" s="541">
        <f t="shared" si="60"/>
        <v>452.29499999999996</v>
      </c>
      <c r="T78" s="541">
        <f t="shared" si="54"/>
        <v>845.59499999999991</v>
      </c>
    </row>
    <row r="79" spans="1:20">
      <c r="A79" s="538">
        <f t="shared" si="61"/>
        <v>7</v>
      </c>
      <c r="B79" s="539" t="s">
        <v>747</v>
      </c>
      <c r="C79" s="539" t="s">
        <v>748</v>
      </c>
      <c r="D79" s="532">
        <v>65.55</v>
      </c>
      <c r="E79" s="532"/>
      <c r="F79" s="533"/>
      <c r="G79" s="532">
        <f t="shared" si="55"/>
        <v>65.55</v>
      </c>
      <c r="H79" s="532">
        <f t="shared" si="56"/>
        <v>786.59999999999991</v>
      </c>
      <c r="I79" s="541">
        <f t="shared" si="57"/>
        <v>393.29999999999995</v>
      </c>
      <c r="L79" s="551"/>
      <c r="M79" s="532">
        <f t="shared" si="53"/>
        <v>75.382499999999993</v>
      </c>
      <c r="N79" s="532"/>
      <c r="O79" s="533"/>
      <c r="P79" s="532">
        <f t="shared" si="58"/>
        <v>75.382499999999993</v>
      </c>
      <c r="Q79" s="532">
        <f t="shared" si="59"/>
        <v>904.58999999999992</v>
      </c>
      <c r="R79" s="541">
        <f t="shared" si="60"/>
        <v>452.29499999999996</v>
      </c>
      <c r="T79" s="541">
        <f t="shared" si="54"/>
        <v>845.59499999999991</v>
      </c>
    </row>
    <row r="80" spans="1:20">
      <c r="A80" s="538">
        <f t="shared" si="61"/>
        <v>8</v>
      </c>
      <c r="B80" s="539" t="s">
        <v>749</v>
      </c>
      <c r="C80" s="539" t="s">
        <v>750</v>
      </c>
      <c r="D80" s="532">
        <v>65.55</v>
      </c>
      <c r="E80" s="532"/>
      <c r="F80" s="533"/>
      <c r="G80" s="532">
        <f t="shared" si="55"/>
        <v>65.55</v>
      </c>
      <c r="H80" s="532">
        <f t="shared" si="56"/>
        <v>786.59999999999991</v>
      </c>
      <c r="I80" s="541">
        <f t="shared" si="57"/>
        <v>393.29999999999995</v>
      </c>
      <c r="L80" s="551"/>
      <c r="M80" s="532">
        <f t="shared" si="53"/>
        <v>75.382499999999993</v>
      </c>
      <c r="N80" s="532"/>
      <c r="O80" s="533"/>
      <c r="P80" s="532">
        <f t="shared" si="58"/>
        <v>75.382499999999993</v>
      </c>
      <c r="Q80" s="532">
        <f t="shared" si="59"/>
        <v>904.58999999999992</v>
      </c>
      <c r="R80" s="541">
        <f t="shared" si="60"/>
        <v>452.29499999999996</v>
      </c>
      <c r="T80" s="541">
        <f t="shared" si="54"/>
        <v>845.59499999999991</v>
      </c>
    </row>
    <row r="81" spans="1:20">
      <c r="A81" s="538">
        <f t="shared" si="61"/>
        <v>9</v>
      </c>
      <c r="B81" s="539" t="s">
        <v>751</v>
      </c>
      <c r="C81" s="539" t="s">
        <v>746</v>
      </c>
      <c r="D81" s="532">
        <v>42.87</v>
      </c>
      <c r="E81" s="532"/>
      <c r="F81" s="533"/>
      <c r="G81" s="532">
        <f t="shared" si="55"/>
        <v>42.87</v>
      </c>
      <c r="H81" s="532">
        <f t="shared" si="56"/>
        <v>514.43999999999994</v>
      </c>
      <c r="I81" s="541">
        <f t="shared" si="57"/>
        <v>257.21999999999997</v>
      </c>
      <c r="L81" s="551"/>
      <c r="M81" s="532">
        <f t="shared" si="53"/>
        <v>49.300499999999992</v>
      </c>
      <c r="N81" s="532">
        <f>F81*M81</f>
        <v>0</v>
      </c>
      <c r="O81" s="533"/>
      <c r="P81" s="532">
        <f t="shared" si="58"/>
        <v>49.300499999999992</v>
      </c>
      <c r="Q81" s="532">
        <f t="shared" si="59"/>
        <v>591.60599999999988</v>
      </c>
      <c r="R81" s="541">
        <f t="shared" si="60"/>
        <v>295.80299999999994</v>
      </c>
      <c r="T81" s="541">
        <f t="shared" si="54"/>
        <v>553.02299999999991</v>
      </c>
    </row>
    <row r="82" spans="1:20">
      <c r="A82" s="554">
        <f t="shared" si="61"/>
        <v>10</v>
      </c>
      <c r="B82" s="555" t="s">
        <v>752</v>
      </c>
      <c r="C82" s="555" t="s">
        <v>753</v>
      </c>
      <c r="D82" s="556">
        <v>45</v>
      </c>
      <c r="E82" s="556"/>
      <c r="F82" s="557"/>
      <c r="G82" s="556">
        <f t="shared" si="55"/>
        <v>45</v>
      </c>
      <c r="H82" s="556">
        <f t="shared" si="56"/>
        <v>540</v>
      </c>
      <c r="I82" s="541">
        <f t="shared" si="57"/>
        <v>270</v>
      </c>
      <c r="J82" s="558"/>
      <c r="K82" s="558"/>
      <c r="L82" s="559"/>
      <c r="M82" s="556">
        <f t="shared" si="53"/>
        <v>51.749999999999993</v>
      </c>
      <c r="N82" s="556"/>
      <c r="O82" s="557"/>
      <c r="P82" s="556">
        <f t="shared" si="58"/>
        <v>51.749999999999993</v>
      </c>
      <c r="Q82" s="556">
        <f t="shared" si="59"/>
        <v>620.99999999999989</v>
      </c>
      <c r="R82" s="541">
        <f t="shared" si="60"/>
        <v>310.49999999999994</v>
      </c>
      <c r="S82" s="558"/>
      <c r="T82" s="541">
        <f t="shared" si="54"/>
        <v>580.5</v>
      </c>
    </row>
    <row r="83" spans="1:20">
      <c r="A83" s="538">
        <f t="shared" si="61"/>
        <v>11</v>
      </c>
      <c r="B83" s="539" t="s">
        <v>754</v>
      </c>
      <c r="C83" s="539" t="s">
        <v>755</v>
      </c>
      <c r="D83" s="532">
        <v>40.380000000000003</v>
      </c>
      <c r="E83" s="532"/>
      <c r="F83" s="533"/>
      <c r="G83" s="532">
        <f t="shared" si="55"/>
        <v>40.380000000000003</v>
      </c>
      <c r="H83" s="532">
        <f t="shared" si="56"/>
        <v>484.56000000000006</v>
      </c>
      <c r="I83" s="541">
        <f t="shared" si="57"/>
        <v>242.28000000000003</v>
      </c>
      <c r="L83" s="551"/>
      <c r="M83" s="532">
        <f t="shared" si="53"/>
        <v>46.436999999999998</v>
      </c>
      <c r="N83" s="532">
        <v>0</v>
      </c>
      <c r="O83" s="533"/>
      <c r="P83" s="532">
        <f t="shared" si="58"/>
        <v>46.436999999999998</v>
      </c>
      <c r="Q83" s="532">
        <f t="shared" si="59"/>
        <v>557.24399999999991</v>
      </c>
      <c r="R83" s="541">
        <f t="shared" si="60"/>
        <v>278.62199999999996</v>
      </c>
      <c r="T83" s="541">
        <f t="shared" si="54"/>
        <v>520.90200000000004</v>
      </c>
    </row>
    <row r="84" spans="1:20">
      <c r="A84" s="538">
        <f t="shared" si="61"/>
        <v>12</v>
      </c>
      <c r="B84" s="539" t="s">
        <v>756</v>
      </c>
      <c r="C84" s="539" t="s">
        <v>757</v>
      </c>
      <c r="D84" s="532">
        <v>65.55</v>
      </c>
      <c r="E84" s="532"/>
      <c r="F84" s="533"/>
      <c r="G84" s="532">
        <f t="shared" si="55"/>
        <v>65.55</v>
      </c>
      <c r="H84" s="532">
        <f t="shared" si="56"/>
        <v>786.59999999999991</v>
      </c>
      <c r="I84" s="541">
        <f t="shared" si="57"/>
        <v>393.29999999999995</v>
      </c>
      <c r="L84" s="551"/>
      <c r="M84" s="532">
        <f t="shared" si="53"/>
        <v>75.382499999999993</v>
      </c>
      <c r="N84" s="532"/>
      <c r="O84" s="533"/>
      <c r="P84" s="532">
        <f t="shared" si="58"/>
        <v>75.382499999999993</v>
      </c>
      <c r="Q84" s="532">
        <f t="shared" si="59"/>
        <v>904.58999999999992</v>
      </c>
      <c r="R84" s="541">
        <f t="shared" si="60"/>
        <v>452.29499999999996</v>
      </c>
      <c r="T84" s="541">
        <f t="shared" si="54"/>
        <v>845.59499999999991</v>
      </c>
    </row>
    <row r="85" spans="1:20">
      <c r="A85" s="538">
        <f t="shared" si="61"/>
        <v>13</v>
      </c>
      <c r="B85" s="539" t="s">
        <v>758</v>
      </c>
      <c r="C85" s="539" t="s">
        <v>757</v>
      </c>
      <c r="D85" s="532">
        <v>30.76</v>
      </c>
      <c r="E85" s="532"/>
      <c r="F85" s="533"/>
      <c r="G85" s="532">
        <f t="shared" si="55"/>
        <v>30.76</v>
      </c>
      <c r="H85" s="532">
        <f t="shared" si="56"/>
        <v>369.12</v>
      </c>
      <c r="I85" s="541">
        <f t="shared" si="57"/>
        <v>184.56</v>
      </c>
      <c r="L85" s="551"/>
      <c r="M85" s="532">
        <f t="shared" si="53"/>
        <v>35.374000000000002</v>
      </c>
      <c r="N85" s="532"/>
      <c r="O85" s="533"/>
      <c r="P85" s="532">
        <f t="shared" si="58"/>
        <v>35.374000000000002</v>
      </c>
      <c r="Q85" s="532">
        <f t="shared" si="59"/>
        <v>424.48800000000006</v>
      </c>
      <c r="R85" s="541">
        <f t="shared" si="60"/>
        <v>212.24400000000003</v>
      </c>
      <c r="T85" s="541">
        <f t="shared" si="54"/>
        <v>396.80400000000003</v>
      </c>
    </row>
    <row r="86" spans="1:20">
      <c r="A86" s="538">
        <f t="shared" si="61"/>
        <v>14</v>
      </c>
      <c r="B86" s="539" t="s">
        <v>759</v>
      </c>
      <c r="C86" s="539" t="s">
        <v>760</v>
      </c>
      <c r="D86" s="535">
        <v>16.649999999999999</v>
      </c>
      <c r="E86" s="535"/>
      <c r="F86" s="536"/>
      <c r="G86" s="535">
        <f t="shared" si="55"/>
        <v>16.649999999999999</v>
      </c>
      <c r="H86" s="535">
        <f t="shared" si="56"/>
        <v>199.79999999999998</v>
      </c>
      <c r="I86" s="542">
        <f t="shared" si="57"/>
        <v>99.899999999999991</v>
      </c>
      <c r="L86" s="551"/>
      <c r="M86" s="535">
        <f t="shared" si="53"/>
        <v>19.147499999999997</v>
      </c>
      <c r="N86" s="535"/>
      <c r="O86" s="536"/>
      <c r="P86" s="535">
        <f t="shared" si="58"/>
        <v>19.147499999999997</v>
      </c>
      <c r="Q86" s="535">
        <f t="shared" si="59"/>
        <v>229.76999999999998</v>
      </c>
      <c r="R86" s="542">
        <f t="shared" si="60"/>
        <v>114.88499999999999</v>
      </c>
      <c r="T86" s="542">
        <f t="shared" si="54"/>
        <v>214.78499999999997</v>
      </c>
    </row>
    <row r="87" spans="1:20" s="528" customFormat="1">
      <c r="A87" s="530"/>
      <c r="D87" s="537">
        <f>SUM(D73:D86)</f>
        <v>650.05999999999995</v>
      </c>
      <c r="E87" s="537">
        <f>SUM(E73:E86)</f>
        <v>0</v>
      </c>
      <c r="G87" s="537">
        <f t="shared" ref="G87" si="62">SUM(G73:G86)</f>
        <v>650.05999999999995</v>
      </c>
      <c r="H87" s="537">
        <f t="shared" ref="H87" si="63">SUM(H73:H86)</f>
        <v>7800.7199999999993</v>
      </c>
      <c r="I87" s="543">
        <f t="shared" ref="I87" si="64">SUM(I73:I86)</f>
        <v>3900.3599999999997</v>
      </c>
      <c r="L87" s="553"/>
      <c r="M87" s="537">
        <f>SUM(M73:M86)</f>
        <v>747.56899999999996</v>
      </c>
      <c r="N87" s="537">
        <f>SUM(N73:N86)</f>
        <v>0</v>
      </c>
      <c r="P87" s="537">
        <f t="shared" ref="P87" si="65">SUM(P73:P86)</f>
        <v>747.56899999999996</v>
      </c>
      <c r="Q87" s="537">
        <f t="shared" ref="Q87" si="66">SUM(Q73:Q86)</f>
        <v>8970.8279999999995</v>
      </c>
      <c r="R87" s="543">
        <f t="shared" ref="R87" si="67">SUM(R73:R86)</f>
        <v>4485.4139999999998</v>
      </c>
      <c r="T87" s="543">
        <f t="shared" ref="T87" si="68">SUM(T73:T86)</f>
        <v>8385.7740000000013</v>
      </c>
    </row>
  </sheetData>
  <mergeCells count="12">
    <mergeCell ref="D6:K6"/>
    <mergeCell ref="M6:R6"/>
    <mergeCell ref="D5:T5"/>
    <mergeCell ref="D70:T70"/>
    <mergeCell ref="D71:I71"/>
    <mergeCell ref="M71:R71"/>
    <mergeCell ref="D29:T29"/>
    <mergeCell ref="M30:R30"/>
    <mergeCell ref="D30:I30"/>
    <mergeCell ref="D51:T51"/>
    <mergeCell ref="D52:I52"/>
    <mergeCell ref="M52:R52"/>
  </mergeCells>
  <pageMargins left="0.25" right="0.25" top="0.75" bottom="0.75" header="0.3" footer="0.3"/>
  <pageSetup paperSize="5" scale="9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R76"/>
  <sheetViews>
    <sheetView topLeftCell="B1" zoomScale="85" zoomScaleNormal="145" workbookViewId="0">
      <selection activeCell="D29" sqref="D29"/>
    </sheetView>
  </sheetViews>
  <sheetFormatPr defaultColWidth="0" defaultRowHeight="14.35"/>
  <cols>
    <col min="1" max="1" width="5.46875" style="113" customWidth="1"/>
    <col min="2" max="2" width="13.8203125" style="113" customWidth="1"/>
    <col min="3" max="3" width="12.46875" style="113" customWidth="1"/>
    <col min="4" max="4" width="28.46875" style="115" customWidth="1"/>
    <col min="5" max="5" width="16.8203125" style="114" customWidth="1"/>
    <col min="6" max="11" width="14" style="113" customWidth="1"/>
    <col min="12" max="12" width="30.46875" style="113" hidden="1" customWidth="1"/>
    <col min="13" max="13" width="0.8203125" style="113" customWidth="1"/>
    <col min="14" max="14" width="12.46875" style="113" customWidth="1"/>
    <col min="15" max="15" width="14" style="113" hidden="1" customWidth="1"/>
    <col min="16" max="16" width="14.46875" style="113" hidden="1" customWidth="1"/>
    <col min="17" max="17" width="14" style="113" hidden="1" customWidth="1"/>
    <col min="18" max="18" width="14.46875" style="113" hidden="1" customWidth="1"/>
    <col min="19" max="19" width="12" style="113" customWidth="1"/>
    <col min="20" max="20" width="11.8203125" style="113" hidden="1" customWidth="1"/>
    <col min="21" max="21" width="10.46875" style="113" hidden="1" customWidth="1"/>
    <col min="22" max="22" width="12.8203125" style="113" customWidth="1"/>
    <col min="23" max="23" width="13.8203125" style="113" customWidth="1"/>
    <col min="24" max="24" width="15.46875" style="113" customWidth="1"/>
    <col min="25" max="25" width="10.46875" style="113" customWidth="1"/>
    <col min="26" max="26" width="13.8203125" style="113" hidden="1" customWidth="1"/>
    <col min="27" max="28" width="10.46875" style="113" hidden="1" customWidth="1"/>
    <col min="29" max="30" width="15.46875" style="113" hidden="1" customWidth="1"/>
    <col min="31" max="33" width="10" style="113" hidden="1" customWidth="1"/>
    <col min="34" max="34" width="62.46875" style="113" hidden="1" customWidth="1"/>
    <col min="35" max="35" width="10.46875" style="113" hidden="1" customWidth="1"/>
    <col min="36" max="36" width="21" style="113" hidden="1" customWidth="1"/>
    <col min="37" max="37" width="20.8203125" style="113" hidden="1" customWidth="1"/>
    <col min="38" max="38" width="22.1171875" style="113" hidden="1" customWidth="1"/>
    <col min="39" max="42" width="10" style="113" hidden="1" customWidth="1"/>
    <col min="43" max="43" width="23.46875" style="113" hidden="1" customWidth="1"/>
    <col min="44" max="44" width="23.1171875" style="113" hidden="1" customWidth="1"/>
    <col min="45" max="16384" width="10" style="113" hidden="1"/>
  </cols>
  <sheetData>
    <row r="1" spans="1:31" ht="42" customHeight="1">
      <c r="B1" s="222"/>
      <c r="C1" s="222"/>
      <c r="D1" s="222"/>
      <c r="E1" s="887" t="s">
        <v>345</v>
      </c>
      <c r="F1" s="887"/>
      <c r="G1" s="887"/>
      <c r="H1" s="887"/>
      <c r="I1" s="887"/>
      <c r="J1" s="887"/>
      <c r="K1" s="887"/>
      <c r="L1" s="221"/>
      <c r="M1" s="221"/>
      <c r="N1" s="888" t="s">
        <v>344</v>
      </c>
      <c r="O1" s="888"/>
      <c r="P1" s="888"/>
      <c r="Q1" s="888"/>
      <c r="R1" s="888"/>
      <c r="S1" s="888"/>
      <c r="T1" s="888"/>
      <c r="U1" s="888"/>
      <c r="V1" s="888"/>
      <c r="W1" s="889" t="s">
        <v>343</v>
      </c>
      <c r="X1" s="889"/>
      <c r="Y1" s="889"/>
      <c r="Z1" s="218"/>
      <c r="AA1" s="218"/>
      <c r="AB1" s="218"/>
      <c r="AC1" s="890" t="s">
        <v>342</v>
      </c>
      <c r="AD1" s="890"/>
      <c r="AE1" s="135"/>
    </row>
    <row r="2" spans="1:31" ht="3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0"/>
      <c r="O2" s="220"/>
      <c r="P2" s="220"/>
      <c r="Q2" s="220"/>
      <c r="R2" s="220"/>
      <c r="S2" s="220"/>
      <c r="T2" s="220"/>
      <c r="U2" s="220"/>
      <c r="V2" s="220"/>
      <c r="W2" s="219"/>
      <c r="X2" s="219"/>
      <c r="Y2" s="219"/>
      <c r="Z2" s="218"/>
      <c r="AA2" s="218"/>
      <c r="AB2" s="218"/>
      <c r="AC2" s="217"/>
      <c r="AD2" s="217"/>
      <c r="AE2" s="135"/>
    </row>
    <row r="3" spans="1:31" ht="28.7">
      <c r="A3" s="157"/>
      <c r="B3" s="156" t="s">
        <v>341</v>
      </c>
      <c r="C3" s="156" t="s">
        <v>340</v>
      </c>
      <c r="D3" s="154" t="s">
        <v>338</v>
      </c>
      <c r="E3" s="155" t="s">
        <v>339</v>
      </c>
      <c r="F3" s="154" t="s">
        <v>323</v>
      </c>
      <c r="G3" s="154" t="s">
        <v>322</v>
      </c>
      <c r="H3" s="154" t="s">
        <v>321</v>
      </c>
      <c r="I3" s="154" t="s">
        <v>320</v>
      </c>
      <c r="J3" s="154" t="s">
        <v>319</v>
      </c>
      <c r="K3" s="154" t="s">
        <v>318</v>
      </c>
      <c r="L3" s="154" t="s">
        <v>338</v>
      </c>
      <c r="M3" s="154"/>
      <c r="N3" s="216" t="s">
        <v>337</v>
      </c>
      <c r="O3" s="216" t="s">
        <v>305</v>
      </c>
      <c r="P3" s="216" t="s">
        <v>336</v>
      </c>
      <c r="Q3" s="216" t="s">
        <v>332</v>
      </c>
      <c r="R3" s="216" t="s">
        <v>335</v>
      </c>
      <c r="S3" s="216" t="s">
        <v>334</v>
      </c>
      <c r="T3" s="216" t="s">
        <v>300</v>
      </c>
      <c r="U3" s="216" t="s">
        <v>299</v>
      </c>
      <c r="V3" s="216" t="s">
        <v>333</v>
      </c>
      <c r="W3" s="215" t="s">
        <v>321</v>
      </c>
      <c r="X3" s="215" t="s">
        <v>332</v>
      </c>
      <c r="Y3" s="215" t="s">
        <v>300</v>
      </c>
      <c r="Z3" s="151" t="s">
        <v>331</v>
      </c>
      <c r="AA3" s="151" t="s">
        <v>330</v>
      </c>
      <c r="AB3" s="151" t="s">
        <v>329</v>
      </c>
      <c r="AC3" s="151" t="s">
        <v>328</v>
      </c>
      <c r="AD3" s="151" t="s">
        <v>327</v>
      </c>
      <c r="AE3" s="135"/>
    </row>
    <row r="4" spans="1:31" s="143" customFormat="1" ht="17.25" customHeight="1">
      <c r="A4" s="214"/>
      <c r="B4" s="209">
        <f>AC4*12</f>
        <v>8214.9599999999991</v>
      </c>
      <c r="C4" s="209">
        <v>645</v>
      </c>
      <c r="D4" s="148" t="s">
        <v>298</v>
      </c>
      <c r="E4" s="140">
        <f>C4</f>
        <v>645</v>
      </c>
      <c r="F4" s="140">
        <v>596.4</v>
      </c>
      <c r="G4" s="140">
        <v>615.6</v>
      </c>
      <c r="H4" s="140">
        <v>649.19999999999993</v>
      </c>
      <c r="I4" s="140">
        <v>679.19999999999993</v>
      </c>
      <c r="J4" s="140">
        <v>787.19999999999993</v>
      </c>
      <c r="K4" s="140">
        <v>770.4</v>
      </c>
      <c r="L4" s="146" t="s">
        <v>298</v>
      </c>
      <c r="M4" s="146"/>
      <c r="N4" s="212">
        <v>1</v>
      </c>
      <c r="O4" s="213">
        <v>20.9</v>
      </c>
      <c r="P4" s="213">
        <v>18.21</v>
      </c>
      <c r="Q4" s="213">
        <v>28.5</v>
      </c>
      <c r="R4" s="213">
        <v>48.47</v>
      </c>
      <c r="S4" s="212">
        <v>1</v>
      </c>
      <c r="T4" s="213">
        <v>6.88</v>
      </c>
      <c r="U4" s="213">
        <v>9.27</v>
      </c>
      <c r="V4" s="212">
        <v>1</v>
      </c>
      <c r="W4" s="211">
        <f>HLOOKUP(W3,F3:K7,2,FALSE)</f>
        <v>649.19999999999993</v>
      </c>
      <c r="X4" s="211">
        <f>HLOOKUP(X3,O3:R7,2,FALSE)</f>
        <v>28.5</v>
      </c>
      <c r="Y4" s="211">
        <f>HLOOKUP(Y3,T3:U7,2,FALSE)</f>
        <v>6.88</v>
      </c>
      <c r="Z4" s="205">
        <f>W4*N4</f>
        <v>649.19999999999993</v>
      </c>
      <c r="AA4" s="205">
        <f>X4*S4</f>
        <v>28.5</v>
      </c>
      <c r="AB4" s="205">
        <f>Y4*V4</f>
        <v>6.88</v>
      </c>
      <c r="AC4" s="204">
        <f>AB4+AA4+Z4</f>
        <v>684.57999999999993</v>
      </c>
      <c r="AD4" s="204">
        <f>AC4*12</f>
        <v>8214.9599999999991</v>
      </c>
      <c r="AE4" s="144"/>
    </row>
    <row r="5" spans="1:31" s="143" customFormat="1" ht="17.25" customHeight="1">
      <c r="A5" s="214"/>
      <c r="B5" s="209">
        <f>AC5*12</f>
        <v>17135.760000000002</v>
      </c>
      <c r="C5" s="209">
        <v>1349</v>
      </c>
      <c r="D5" s="148" t="s">
        <v>297</v>
      </c>
      <c r="E5" s="140">
        <f>C5</f>
        <v>1349</v>
      </c>
      <c r="F5" s="140">
        <v>1252.8</v>
      </c>
      <c r="G5" s="140">
        <v>1286.3999999999999</v>
      </c>
      <c r="H5" s="140">
        <v>1357.2</v>
      </c>
      <c r="I5" s="140">
        <v>1420.8</v>
      </c>
      <c r="J5" s="140">
        <v>1647.6</v>
      </c>
      <c r="K5" s="140">
        <v>1612.8</v>
      </c>
      <c r="L5" s="146" t="s">
        <v>297</v>
      </c>
      <c r="M5" s="146"/>
      <c r="N5" s="212">
        <v>1</v>
      </c>
      <c r="O5" s="213">
        <v>38.71</v>
      </c>
      <c r="P5" s="213">
        <v>36.42</v>
      </c>
      <c r="Q5" s="213">
        <v>57.01</v>
      </c>
      <c r="R5" s="213">
        <v>96.95</v>
      </c>
      <c r="S5" s="212">
        <v>1</v>
      </c>
      <c r="T5" s="213">
        <v>13.77</v>
      </c>
      <c r="U5" s="213">
        <v>18.54</v>
      </c>
      <c r="V5" s="212">
        <v>1</v>
      </c>
      <c r="W5" s="211">
        <f>HLOOKUP(W3,F3:K7,3,FALSE)</f>
        <v>1357.2</v>
      </c>
      <c r="X5" s="211">
        <f>HLOOKUP(X3,O3:R7,3,FALSE)</f>
        <v>57.01</v>
      </c>
      <c r="Y5" s="211">
        <f>HLOOKUP(Y3,T3:U7,3,FALSE)</f>
        <v>13.77</v>
      </c>
      <c r="Z5" s="205">
        <f>W5*N5</f>
        <v>1357.2</v>
      </c>
      <c r="AA5" s="205">
        <f>X5*S5</f>
        <v>57.01</v>
      </c>
      <c r="AB5" s="205">
        <f>Y5*V5</f>
        <v>13.77</v>
      </c>
      <c r="AC5" s="204">
        <f>AB5+AA5+Z5</f>
        <v>1427.98</v>
      </c>
      <c r="AD5" s="204">
        <f>AC5*12</f>
        <v>17135.760000000002</v>
      </c>
      <c r="AE5" s="144"/>
    </row>
    <row r="6" spans="1:31" s="143" customFormat="1" ht="17.25" customHeight="1">
      <c r="A6" s="214"/>
      <c r="B6" s="209">
        <f>AC6*12</f>
        <v>15871.68</v>
      </c>
      <c r="C6" s="209">
        <v>1246</v>
      </c>
      <c r="D6" s="148" t="s">
        <v>296</v>
      </c>
      <c r="E6" s="140">
        <f>C6</f>
        <v>1246</v>
      </c>
      <c r="F6" s="140">
        <v>1132.8</v>
      </c>
      <c r="G6" s="140">
        <v>1173.5999999999999</v>
      </c>
      <c r="H6" s="140">
        <v>1237.2</v>
      </c>
      <c r="I6" s="140">
        <v>1294.8</v>
      </c>
      <c r="J6" s="140">
        <v>1501.2</v>
      </c>
      <c r="K6" s="140">
        <v>1468.8</v>
      </c>
      <c r="L6" s="146" t="s">
        <v>296</v>
      </c>
      <c r="M6" s="146"/>
      <c r="N6" s="212">
        <v>1</v>
      </c>
      <c r="O6" s="213">
        <v>43.2</v>
      </c>
      <c r="P6" s="213">
        <v>45.71</v>
      </c>
      <c r="Q6" s="213">
        <v>71.540000000000006</v>
      </c>
      <c r="R6" s="213">
        <v>121.66</v>
      </c>
      <c r="S6" s="212">
        <v>1</v>
      </c>
      <c r="T6" s="213">
        <v>13.9</v>
      </c>
      <c r="U6" s="213">
        <v>18.739999999999998</v>
      </c>
      <c r="V6" s="212">
        <v>1</v>
      </c>
      <c r="W6" s="211">
        <f>HLOOKUP(W3,F3:K7,4,FALSE)</f>
        <v>1237.2</v>
      </c>
      <c r="X6" s="211">
        <f>HLOOKUP(X3,O3:R7,4,FALSE)</f>
        <v>71.540000000000006</v>
      </c>
      <c r="Y6" s="211">
        <f>HLOOKUP(Y3,T3:U7,4,FALSE)</f>
        <v>13.9</v>
      </c>
      <c r="Z6" s="205">
        <f>W6*N6</f>
        <v>1237.2</v>
      </c>
      <c r="AA6" s="205">
        <f>X6*S6</f>
        <v>71.540000000000006</v>
      </c>
      <c r="AB6" s="205">
        <f>Y6*V6</f>
        <v>13.9</v>
      </c>
      <c r="AC6" s="204">
        <f>AB6+AA6+Z6</f>
        <v>1322.64</v>
      </c>
      <c r="AD6" s="204">
        <f>AC6*12</f>
        <v>15871.68</v>
      </c>
      <c r="AE6" s="144"/>
    </row>
    <row r="7" spans="1:31" s="143" customFormat="1" ht="17.25" customHeight="1">
      <c r="A7" s="214"/>
      <c r="B7" s="209">
        <f>AC7*12</f>
        <v>24273.48</v>
      </c>
      <c r="C7" s="209">
        <v>1935</v>
      </c>
      <c r="D7" s="148" t="s">
        <v>295</v>
      </c>
      <c r="E7" s="140">
        <f>C7</f>
        <v>1935</v>
      </c>
      <c r="F7" s="140">
        <v>1789.2</v>
      </c>
      <c r="G7" s="140">
        <v>1795.2</v>
      </c>
      <c r="H7" s="140">
        <v>1896</v>
      </c>
      <c r="I7" s="140">
        <v>1987.1999999999998</v>
      </c>
      <c r="J7" s="140">
        <v>2311.1999999999998</v>
      </c>
      <c r="K7" s="140">
        <v>2260.7999999999997</v>
      </c>
      <c r="L7" s="146" t="s">
        <v>295</v>
      </c>
      <c r="M7" s="146"/>
      <c r="N7" s="212">
        <v>1</v>
      </c>
      <c r="O7" s="213">
        <v>64.87</v>
      </c>
      <c r="P7" s="213">
        <v>66.83</v>
      </c>
      <c r="Q7" s="213">
        <v>104.61</v>
      </c>
      <c r="R7" s="213">
        <v>177.88</v>
      </c>
      <c r="S7" s="212">
        <v>1</v>
      </c>
      <c r="T7" s="213">
        <v>22.18</v>
      </c>
      <c r="U7" s="213">
        <v>29.9</v>
      </c>
      <c r="V7" s="212">
        <v>1</v>
      </c>
      <c r="W7" s="211">
        <f>HLOOKUP(W3,F3:K7,5,FALSE)</f>
        <v>1896</v>
      </c>
      <c r="X7" s="211">
        <f>HLOOKUP(X3,O3:R7,5,FALSE)</f>
        <v>104.61</v>
      </c>
      <c r="Y7" s="211">
        <f>HLOOKUP(Y3,T3:U7,5,FALSE)</f>
        <v>22.18</v>
      </c>
      <c r="Z7" s="205">
        <f>W7*N7</f>
        <v>1896</v>
      </c>
      <c r="AA7" s="205">
        <f>X7*S7</f>
        <v>104.61</v>
      </c>
      <c r="AB7" s="205">
        <f>Y7*V7</f>
        <v>22.18</v>
      </c>
      <c r="AC7" s="204">
        <f>AB7+AA7+Z7</f>
        <v>2022.79</v>
      </c>
      <c r="AD7" s="204">
        <f>AC7*12</f>
        <v>24273.48</v>
      </c>
      <c r="AE7" s="144"/>
    </row>
    <row r="8" spans="1:31" s="143" customFormat="1" ht="17.25" customHeight="1">
      <c r="A8" s="210" t="s">
        <v>326</v>
      </c>
      <c r="B8" s="209">
        <v>1200</v>
      </c>
      <c r="C8" s="209">
        <v>100</v>
      </c>
      <c r="D8" s="148"/>
      <c r="E8" s="140"/>
      <c r="F8" s="140"/>
      <c r="G8" s="140"/>
      <c r="H8" s="140"/>
      <c r="I8" s="140"/>
      <c r="J8" s="140"/>
      <c r="K8" s="140"/>
      <c r="L8" s="146"/>
      <c r="M8" s="146"/>
      <c r="N8" s="207"/>
      <c r="O8" s="207"/>
      <c r="P8" s="208"/>
      <c r="Q8" s="208"/>
      <c r="R8" s="208"/>
      <c r="S8" s="207"/>
      <c r="T8" s="208"/>
      <c r="U8" s="208"/>
      <c r="V8" s="207"/>
      <c r="W8" s="206"/>
      <c r="X8" s="206"/>
      <c r="Y8" s="206"/>
      <c r="Z8" s="205"/>
      <c r="AA8" s="205"/>
      <c r="AB8" s="205"/>
      <c r="AC8" s="204"/>
      <c r="AD8" s="204"/>
      <c r="AE8" s="144"/>
    </row>
    <row r="9" spans="1:31" ht="14.25" hidden="1" customHeight="1">
      <c r="A9" s="142"/>
      <c r="B9" s="142"/>
      <c r="C9" s="142"/>
      <c r="D9" s="141"/>
      <c r="E9" s="160"/>
      <c r="F9" s="119"/>
      <c r="G9" s="119"/>
      <c r="H9" s="119"/>
      <c r="I9" s="119"/>
      <c r="J9" s="119"/>
      <c r="K9" s="119"/>
      <c r="L9" s="136"/>
      <c r="M9" s="136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31" ht="14.25" hidden="1" customHeight="1">
      <c r="A10" s="142"/>
      <c r="B10" s="142"/>
      <c r="C10" s="142"/>
      <c r="D10" s="141"/>
      <c r="E10" s="160"/>
      <c r="F10" s="119"/>
      <c r="G10" s="119"/>
      <c r="H10" s="119"/>
      <c r="I10" s="119"/>
      <c r="J10" s="119"/>
      <c r="K10" s="119"/>
      <c r="L10" s="136"/>
      <c r="M10" s="136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</row>
    <row r="11" spans="1:31" ht="14.25" hidden="1" customHeight="1">
      <c r="A11" s="142"/>
      <c r="B11" s="142"/>
      <c r="C11" s="142"/>
      <c r="D11" s="141" t="s">
        <v>298</v>
      </c>
      <c r="E11" s="160">
        <f>E4</f>
        <v>645</v>
      </c>
      <c r="F11" s="119">
        <f t="shared" ref="F11:K11" si="0">F4-$E$4</f>
        <v>-48.600000000000023</v>
      </c>
      <c r="G11" s="119">
        <f t="shared" si="0"/>
        <v>-29.399999999999977</v>
      </c>
      <c r="H11" s="119">
        <f t="shared" si="0"/>
        <v>4.1999999999999318</v>
      </c>
      <c r="I11" s="119">
        <f t="shared" si="0"/>
        <v>34.199999999999932</v>
      </c>
      <c r="J11" s="119">
        <f t="shared" si="0"/>
        <v>142.19999999999993</v>
      </c>
      <c r="K11" s="119">
        <f t="shared" si="0"/>
        <v>125.39999999999998</v>
      </c>
      <c r="L11" s="136"/>
      <c r="M11" s="136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</row>
    <row r="12" spans="1:31" ht="14.25" hidden="1" customHeight="1">
      <c r="A12" s="142"/>
      <c r="B12" s="142"/>
      <c r="C12" s="142"/>
      <c r="D12" s="141" t="s">
        <v>297</v>
      </c>
      <c r="E12" s="160">
        <f>E5</f>
        <v>1349</v>
      </c>
      <c r="F12" s="119">
        <f t="shared" ref="F12:K12" si="1">F5-$E$5</f>
        <v>-96.200000000000045</v>
      </c>
      <c r="G12" s="119">
        <f t="shared" si="1"/>
        <v>-62.600000000000136</v>
      </c>
      <c r="H12" s="119">
        <f t="shared" si="1"/>
        <v>8.2000000000000455</v>
      </c>
      <c r="I12" s="119">
        <f t="shared" si="1"/>
        <v>71.799999999999955</v>
      </c>
      <c r="J12" s="119">
        <f t="shared" si="1"/>
        <v>298.59999999999991</v>
      </c>
      <c r="K12" s="119">
        <f t="shared" si="1"/>
        <v>263.79999999999995</v>
      </c>
      <c r="L12" s="136"/>
      <c r="M12" s="136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</row>
    <row r="13" spans="1:31" ht="14.25" hidden="1" customHeight="1">
      <c r="A13" s="142"/>
      <c r="B13" s="142"/>
      <c r="C13" s="142"/>
      <c r="D13" s="141" t="s">
        <v>296</v>
      </c>
      <c r="E13" s="160">
        <f>E6</f>
        <v>1246</v>
      </c>
      <c r="F13" s="119">
        <f t="shared" ref="F13:K13" si="2">F6-$E$6</f>
        <v>-113.20000000000005</v>
      </c>
      <c r="G13" s="119">
        <f t="shared" si="2"/>
        <v>-72.400000000000091</v>
      </c>
      <c r="H13" s="119">
        <f t="shared" si="2"/>
        <v>-8.7999999999999545</v>
      </c>
      <c r="I13" s="119">
        <f t="shared" si="2"/>
        <v>48.799999999999955</v>
      </c>
      <c r="J13" s="119">
        <f t="shared" si="2"/>
        <v>255.20000000000005</v>
      </c>
      <c r="K13" s="119">
        <f t="shared" si="2"/>
        <v>222.79999999999995</v>
      </c>
      <c r="L13" s="136"/>
      <c r="M13" s="136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</row>
    <row r="14" spans="1:31" ht="14.25" hidden="1" customHeight="1">
      <c r="A14" s="142"/>
      <c r="B14" s="142"/>
      <c r="C14" s="142"/>
      <c r="D14" s="141" t="s">
        <v>295</v>
      </c>
      <c r="E14" s="160">
        <f>E7</f>
        <v>1935</v>
      </c>
      <c r="F14" s="119">
        <f t="shared" ref="F14:K14" si="3">F7-$E$7</f>
        <v>-145.79999999999995</v>
      </c>
      <c r="G14" s="119">
        <f t="shared" si="3"/>
        <v>-139.79999999999995</v>
      </c>
      <c r="H14" s="119">
        <f t="shared" si="3"/>
        <v>-39</v>
      </c>
      <c r="I14" s="119">
        <f t="shared" si="3"/>
        <v>52.199999999999818</v>
      </c>
      <c r="J14" s="119">
        <f t="shared" si="3"/>
        <v>376.19999999999982</v>
      </c>
      <c r="K14" s="119">
        <f t="shared" si="3"/>
        <v>325.79999999999973</v>
      </c>
      <c r="L14" s="136"/>
      <c r="M14" s="136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</row>
    <row r="15" spans="1:31" ht="14.25" hidden="1" customHeight="1">
      <c r="A15" s="142"/>
      <c r="B15" s="142"/>
      <c r="C15" s="142"/>
      <c r="D15" s="141"/>
      <c r="E15" s="160"/>
      <c r="F15" s="119"/>
      <c r="G15" s="119"/>
      <c r="H15" s="119"/>
      <c r="I15" s="119"/>
      <c r="J15" s="119"/>
      <c r="K15" s="119"/>
      <c r="L15" s="136"/>
      <c r="M15" s="136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</row>
    <row r="16" spans="1:31" ht="14.25" customHeight="1">
      <c r="A16" s="142"/>
      <c r="B16" s="142"/>
      <c r="C16" s="142"/>
      <c r="D16" s="141"/>
      <c r="E16" s="160"/>
      <c r="F16" s="119"/>
      <c r="G16" s="119"/>
      <c r="H16" s="119"/>
      <c r="I16" s="119"/>
      <c r="J16" s="119"/>
      <c r="K16" s="119"/>
      <c r="L16" s="136"/>
      <c r="M16" s="136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</row>
    <row r="17" spans="1:31" ht="27" customHeight="1">
      <c r="A17" s="142"/>
      <c r="B17" s="142"/>
      <c r="C17" s="193"/>
      <c r="D17" s="141"/>
      <c r="E17" s="160"/>
      <c r="F17" s="891" t="s">
        <v>325</v>
      </c>
      <c r="G17" s="891"/>
      <c r="H17" s="892"/>
      <c r="I17" s="892"/>
      <c r="J17" s="892"/>
      <c r="K17" s="892"/>
      <c r="L17" s="142"/>
      <c r="M17" s="142"/>
      <c r="N17" s="893" t="s">
        <v>324</v>
      </c>
      <c r="O17" s="893"/>
      <c r="P17" s="893"/>
      <c r="Q17" s="893"/>
      <c r="R17" s="893"/>
      <c r="S17" s="893"/>
      <c r="T17" s="893"/>
      <c r="U17" s="893"/>
      <c r="V17" s="893"/>
      <c r="W17" s="893"/>
      <c r="X17" s="893"/>
      <c r="Y17" s="893"/>
      <c r="Z17" s="193"/>
      <c r="AA17" s="142"/>
      <c r="AB17" s="142"/>
      <c r="AC17" s="142"/>
      <c r="AD17" s="142"/>
      <c r="AE17" s="142"/>
    </row>
    <row r="18" spans="1:31" ht="27" hidden="1" customHeight="1">
      <c r="A18" s="142"/>
      <c r="B18" s="142"/>
      <c r="C18" s="142"/>
      <c r="D18" s="141"/>
      <c r="E18" s="160"/>
      <c r="F18" s="154" t="s">
        <v>323</v>
      </c>
      <c r="G18" s="154" t="s">
        <v>322</v>
      </c>
      <c r="H18" s="154" t="s">
        <v>321</v>
      </c>
      <c r="I18" s="154" t="s">
        <v>320</v>
      </c>
      <c r="J18" s="154" t="s">
        <v>319</v>
      </c>
      <c r="K18" s="154" t="s">
        <v>318</v>
      </c>
      <c r="L18" s="142"/>
      <c r="M18" s="142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193"/>
      <c r="AA18" s="142"/>
      <c r="AB18" s="142"/>
      <c r="AC18" s="142"/>
      <c r="AD18" s="142"/>
      <c r="AE18" s="142"/>
    </row>
    <row r="19" spans="1:31" s="143" customFormat="1" ht="15.75" customHeight="1">
      <c r="A19" s="149"/>
      <c r="B19" s="200"/>
      <c r="C19" s="196"/>
      <c r="D19" s="202"/>
      <c r="E19" s="148" t="s">
        <v>298</v>
      </c>
      <c r="F19" s="174" t="str">
        <f t="shared" ref="F19:K22" si="4">IF(F11&lt;0,"FREE",F11)</f>
        <v>FREE</v>
      </c>
      <c r="G19" s="174" t="str">
        <f t="shared" si="4"/>
        <v>FREE</v>
      </c>
      <c r="H19" s="174">
        <f t="shared" si="4"/>
        <v>4.1999999999999318</v>
      </c>
      <c r="I19" s="174">
        <f t="shared" si="4"/>
        <v>34.199999999999932</v>
      </c>
      <c r="J19" s="199">
        <f t="shared" si="4"/>
        <v>142.19999999999993</v>
      </c>
      <c r="K19" s="199">
        <f t="shared" si="4"/>
        <v>125.39999999999998</v>
      </c>
      <c r="L19" s="145"/>
      <c r="M19" s="145"/>
      <c r="N19" s="142"/>
      <c r="O19" s="142"/>
      <c r="P19" s="142"/>
      <c r="Q19" s="142"/>
      <c r="R19" s="142"/>
      <c r="S19" s="142" t="s">
        <v>317</v>
      </c>
      <c r="T19" s="142"/>
      <c r="U19" s="142"/>
      <c r="V19" s="142"/>
      <c r="W19" s="223">
        <f>'Staffing Detail'!L41</f>
        <v>21</v>
      </c>
      <c r="X19" s="142"/>
      <c r="Y19" s="142"/>
      <c r="Z19" s="149"/>
      <c r="AA19" s="149"/>
      <c r="AB19" s="149"/>
      <c r="AC19" s="149"/>
      <c r="AD19" s="149"/>
      <c r="AE19" s="149"/>
    </row>
    <row r="20" spans="1:31" s="143" customFormat="1" ht="15.75" customHeight="1">
      <c r="A20" s="149"/>
      <c r="B20" s="200"/>
      <c r="C20" s="196"/>
      <c r="D20" s="202"/>
      <c r="E20" s="148" t="s">
        <v>297</v>
      </c>
      <c r="F20" s="174" t="str">
        <f t="shared" si="4"/>
        <v>FREE</v>
      </c>
      <c r="G20" s="174" t="str">
        <f t="shared" si="4"/>
        <v>FREE</v>
      </c>
      <c r="H20" s="174">
        <f t="shared" si="4"/>
        <v>8.2000000000000455</v>
      </c>
      <c r="I20" s="174">
        <f t="shared" si="4"/>
        <v>71.799999999999955</v>
      </c>
      <c r="J20" s="199">
        <f t="shared" si="4"/>
        <v>298.59999999999991</v>
      </c>
      <c r="K20" s="199">
        <f t="shared" si="4"/>
        <v>263.79999999999995</v>
      </c>
      <c r="L20" s="145"/>
      <c r="M20" s="145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9"/>
      <c r="AA20" s="149"/>
      <c r="AB20" s="149"/>
      <c r="AC20" s="149"/>
      <c r="AD20" s="149"/>
      <c r="AE20" s="149"/>
    </row>
    <row r="21" spans="1:31" s="143" customFormat="1" ht="15.75" customHeight="1">
      <c r="A21" s="149"/>
      <c r="B21" s="200"/>
      <c r="C21" s="196"/>
      <c r="D21" s="201"/>
      <c r="E21" s="148" t="s">
        <v>296</v>
      </c>
      <c r="F21" s="174" t="str">
        <f t="shared" si="4"/>
        <v>FREE</v>
      </c>
      <c r="G21" s="174" t="str">
        <f t="shared" si="4"/>
        <v>FREE</v>
      </c>
      <c r="H21" s="174" t="str">
        <f t="shared" si="4"/>
        <v>FREE</v>
      </c>
      <c r="I21" s="174">
        <f t="shared" si="4"/>
        <v>48.799999999999955</v>
      </c>
      <c r="J21" s="199">
        <f t="shared" si="4"/>
        <v>255.20000000000005</v>
      </c>
      <c r="K21" s="199">
        <f t="shared" si="4"/>
        <v>222.79999999999995</v>
      </c>
      <c r="L21" s="145"/>
      <c r="M21" s="145"/>
      <c r="N21" s="142"/>
      <c r="O21" s="142"/>
      <c r="P21" s="142"/>
      <c r="Q21" s="142"/>
      <c r="R21" s="142"/>
      <c r="S21" s="142" t="s">
        <v>316</v>
      </c>
      <c r="T21" s="142"/>
      <c r="U21" s="142"/>
      <c r="V21" s="142"/>
      <c r="W21" s="895">
        <f>'Staffing Detail'!L40</f>
        <v>1071133.33</v>
      </c>
      <c r="X21" s="895"/>
      <c r="Y21" s="142"/>
      <c r="Z21" s="149"/>
      <c r="AA21" s="149"/>
      <c r="AB21" s="149"/>
      <c r="AC21" s="149"/>
      <c r="AD21" s="149"/>
      <c r="AE21" s="149"/>
    </row>
    <row r="22" spans="1:31" s="143" customFormat="1" ht="15.75" customHeight="1">
      <c r="A22" s="149"/>
      <c r="B22" s="200"/>
      <c r="C22" s="196"/>
      <c r="D22" s="148"/>
      <c r="E22" s="148" t="s">
        <v>295</v>
      </c>
      <c r="F22" s="174" t="str">
        <f t="shared" si="4"/>
        <v>FREE</v>
      </c>
      <c r="G22" s="174" t="str">
        <f t="shared" si="4"/>
        <v>FREE</v>
      </c>
      <c r="H22" s="174" t="str">
        <f t="shared" si="4"/>
        <v>FREE</v>
      </c>
      <c r="I22" s="174">
        <f t="shared" si="4"/>
        <v>52.199999999999818</v>
      </c>
      <c r="J22" s="199">
        <f t="shared" si="4"/>
        <v>376.19999999999982</v>
      </c>
      <c r="K22" s="199">
        <f t="shared" si="4"/>
        <v>325.79999999999973</v>
      </c>
      <c r="L22" s="145"/>
      <c r="M22" s="145"/>
      <c r="N22" s="149"/>
      <c r="O22" s="149"/>
      <c r="P22" s="149"/>
      <c r="Q22" s="149"/>
      <c r="R22" s="149"/>
      <c r="S22" s="196"/>
      <c r="T22" s="149"/>
      <c r="U22" s="149"/>
      <c r="V22" s="196"/>
      <c r="W22" s="149"/>
      <c r="X22" s="149"/>
      <c r="Y22" s="149"/>
      <c r="Z22" s="149"/>
      <c r="AA22" s="149"/>
      <c r="AB22" s="149"/>
      <c r="AC22" s="149"/>
      <c r="AD22" s="149"/>
      <c r="AE22" s="149"/>
    </row>
    <row r="23" spans="1:31">
      <c r="A23" s="142"/>
      <c r="B23" s="198"/>
      <c r="C23" s="167"/>
      <c r="D23" s="141"/>
      <c r="E23" s="140"/>
      <c r="F23" s="139"/>
      <c r="G23" s="138"/>
      <c r="H23" s="138"/>
      <c r="I23" s="138"/>
      <c r="J23" s="197"/>
      <c r="K23" s="197"/>
      <c r="L23" s="136"/>
      <c r="M23" s="136"/>
      <c r="N23" s="142"/>
      <c r="O23" s="142"/>
      <c r="P23" s="142"/>
      <c r="Q23" s="142"/>
      <c r="R23" s="142"/>
      <c r="S23" s="196"/>
      <c r="T23" s="142"/>
      <c r="U23" s="142"/>
      <c r="V23" s="196"/>
      <c r="W23" s="142"/>
      <c r="X23" s="142"/>
      <c r="Y23" s="142"/>
      <c r="Z23" s="142"/>
      <c r="AA23" s="142"/>
      <c r="AB23" s="142"/>
      <c r="AC23" s="142"/>
      <c r="AD23" s="142"/>
      <c r="AE23" s="142"/>
    </row>
    <row r="24" spans="1:31" ht="14.25" hidden="1" customHeight="1">
      <c r="A24" s="142"/>
      <c r="B24" s="142"/>
      <c r="C24" s="142"/>
      <c r="D24" s="141"/>
      <c r="E24" s="140"/>
      <c r="F24" s="180"/>
      <c r="G24" s="178"/>
      <c r="H24" s="178"/>
      <c r="I24" s="178"/>
      <c r="J24" s="178"/>
      <c r="K24" s="178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</row>
    <row r="25" spans="1:31" ht="14.25" hidden="1" customHeight="1">
      <c r="A25" s="142"/>
      <c r="B25" s="142"/>
      <c r="C25" s="142"/>
      <c r="D25" s="141"/>
      <c r="E25" s="140"/>
      <c r="F25" s="180"/>
      <c r="G25" s="178"/>
      <c r="H25" s="178"/>
      <c r="I25" s="178"/>
      <c r="J25" s="178"/>
      <c r="K25" s="178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pans="1:31" ht="33.75" customHeight="1">
      <c r="A26" s="142"/>
      <c r="B26" s="142"/>
      <c r="C26" s="142"/>
      <c r="D26" s="141"/>
      <c r="E26" s="160"/>
      <c r="F26" s="896" t="s">
        <v>315</v>
      </c>
      <c r="G26" s="896"/>
      <c r="H26" s="897"/>
      <c r="I26" s="897"/>
      <c r="J26" s="897"/>
      <c r="K26" s="897"/>
      <c r="L26" s="142"/>
      <c r="M26" s="142"/>
      <c r="N26" s="142"/>
      <c r="O26" s="142"/>
      <c r="P26" s="142"/>
      <c r="Q26" s="142"/>
      <c r="R26" s="142"/>
      <c r="S26" s="135"/>
      <c r="T26" s="135"/>
      <c r="U26" s="135"/>
      <c r="V26" s="159"/>
      <c r="W26" s="181" t="s">
        <v>314</v>
      </c>
      <c r="X26" s="181" t="s">
        <v>313</v>
      </c>
      <c r="Y26" s="175"/>
      <c r="Z26" s="142"/>
      <c r="AA26" s="142"/>
      <c r="AB26" s="142"/>
      <c r="AC26" s="142"/>
      <c r="AD26" s="142"/>
      <c r="AE26" s="142"/>
    </row>
    <row r="27" spans="1:31">
      <c r="A27" s="898"/>
      <c r="B27" s="898"/>
      <c r="C27" s="167"/>
      <c r="D27" s="148"/>
      <c r="E27" s="148" t="s">
        <v>298</v>
      </c>
      <c r="F27" s="191">
        <f t="shared" ref="F27:K30" si="5">IF(F11&lt;0,F11*-1,"zero")</f>
        <v>48.600000000000023</v>
      </c>
      <c r="G27" s="192">
        <f t="shared" si="5"/>
        <v>29.399999999999977</v>
      </c>
      <c r="H27" s="192" t="str">
        <f t="shared" si="5"/>
        <v>zero</v>
      </c>
      <c r="I27" s="192" t="str">
        <f t="shared" si="5"/>
        <v>zero</v>
      </c>
      <c r="J27" s="191" t="str">
        <f t="shared" si="5"/>
        <v>zero</v>
      </c>
      <c r="K27" s="190" t="str">
        <f t="shared" si="5"/>
        <v>zero</v>
      </c>
      <c r="L27" s="189"/>
      <c r="M27" s="189"/>
      <c r="N27" s="142"/>
      <c r="O27" s="142"/>
      <c r="P27" s="142"/>
      <c r="Q27" s="142"/>
      <c r="R27" s="142"/>
      <c r="S27" s="153"/>
      <c r="T27" s="153"/>
      <c r="U27" s="153"/>
      <c r="V27" s="177" t="s">
        <v>312</v>
      </c>
      <c r="W27" s="195">
        <f>AQ57</f>
        <v>540.09838293461542</v>
      </c>
      <c r="X27" s="198">
        <f>+W27*12</f>
        <v>6481.1805952153845</v>
      </c>
      <c r="Y27" s="194"/>
      <c r="Z27" s="142"/>
      <c r="AA27" s="142"/>
      <c r="AB27" s="142"/>
      <c r="AC27" s="142"/>
      <c r="AD27" s="142"/>
      <c r="AE27" s="142"/>
    </row>
    <row r="28" spans="1:31">
      <c r="A28" s="142"/>
      <c r="B28" s="141"/>
      <c r="C28" s="167"/>
      <c r="D28" s="148"/>
      <c r="E28" s="148" t="s">
        <v>297</v>
      </c>
      <c r="F28" s="191">
        <f t="shared" si="5"/>
        <v>96.200000000000045</v>
      </c>
      <c r="G28" s="192">
        <f t="shared" si="5"/>
        <v>62.600000000000136</v>
      </c>
      <c r="H28" s="192" t="str">
        <f t="shared" si="5"/>
        <v>zero</v>
      </c>
      <c r="I28" s="192" t="str">
        <f t="shared" si="5"/>
        <v>zero</v>
      </c>
      <c r="J28" s="191" t="str">
        <f t="shared" si="5"/>
        <v>zero</v>
      </c>
      <c r="K28" s="190" t="str">
        <f t="shared" si="5"/>
        <v>zero</v>
      </c>
      <c r="L28" s="189"/>
      <c r="M28" s="189"/>
      <c r="N28" s="142"/>
      <c r="O28" s="142"/>
      <c r="P28" s="142"/>
      <c r="Q28" s="142"/>
      <c r="R28" s="142"/>
      <c r="S28" s="144"/>
      <c r="T28" s="144"/>
      <c r="U28" s="144"/>
      <c r="V28" s="183"/>
      <c r="W28" s="188"/>
      <c r="X28" s="198"/>
      <c r="Y28" s="181"/>
      <c r="Z28" s="142"/>
      <c r="AA28" s="142"/>
      <c r="AB28" s="142"/>
      <c r="AC28" s="142"/>
      <c r="AD28" s="142"/>
      <c r="AE28" s="142"/>
    </row>
    <row r="29" spans="1:31">
      <c r="A29" s="142"/>
      <c r="B29" s="142"/>
      <c r="C29" s="193"/>
      <c r="D29" s="148"/>
      <c r="E29" s="148" t="s">
        <v>296</v>
      </c>
      <c r="F29" s="191">
        <f t="shared" si="5"/>
        <v>113.20000000000005</v>
      </c>
      <c r="G29" s="192">
        <f t="shared" si="5"/>
        <v>72.400000000000091</v>
      </c>
      <c r="H29" s="192">
        <f t="shared" si="5"/>
        <v>8.7999999999999545</v>
      </c>
      <c r="I29" s="192" t="str">
        <f t="shared" si="5"/>
        <v>zero</v>
      </c>
      <c r="J29" s="191" t="str">
        <f t="shared" si="5"/>
        <v>zero</v>
      </c>
      <c r="K29" s="190" t="str">
        <f t="shared" si="5"/>
        <v>zero</v>
      </c>
      <c r="L29" s="189"/>
      <c r="M29" s="189"/>
      <c r="N29" s="142"/>
      <c r="O29" s="142"/>
      <c r="P29" s="142"/>
      <c r="Q29" s="142"/>
      <c r="R29" s="142"/>
      <c r="S29" s="144"/>
      <c r="T29" s="144"/>
      <c r="U29" s="144"/>
      <c r="V29" s="183" t="s">
        <v>311</v>
      </c>
      <c r="W29" s="182">
        <f>AQ61</f>
        <v>116.93205519166668</v>
      </c>
      <c r="X29" s="198">
        <f>+W29*12</f>
        <v>1403.1846623000001</v>
      </c>
      <c r="Y29" s="181"/>
      <c r="Z29" s="142"/>
      <c r="AA29" s="142"/>
      <c r="AB29" s="142"/>
      <c r="AC29" s="142"/>
      <c r="AD29" s="142"/>
      <c r="AE29" s="142"/>
    </row>
    <row r="30" spans="1:31">
      <c r="A30" s="142"/>
      <c r="B30" s="142"/>
      <c r="C30" s="193"/>
      <c r="D30" s="148"/>
      <c r="E30" s="148" t="s">
        <v>295</v>
      </c>
      <c r="F30" s="191">
        <f t="shared" si="5"/>
        <v>145.79999999999995</v>
      </c>
      <c r="G30" s="192">
        <f t="shared" si="5"/>
        <v>139.79999999999995</v>
      </c>
      <c r="H30" s="192">
        <f t="shared" si="5"/>
        <v>39</v>
      </c>
      <c r="I30" s="192" t="str">
        <f t="shared" si="5"/>
        <v>zero</v>
      </c>
      <c r="J30" s="191" t="str">
        <f t="shared" si="5"/>
        <v>zero</v>
      </c>
      <c r="K30" s="190" t="str">
        <f t="shared" si="5"/>
        <v>zero</v>
      </c>
      <c r="L30" s="189"/>
      <c r="M30" s="189"/>
      <c r="N30" s="142"/>
      <c r="O30" s="142"/>
      <c r="P30" s="142"/>
      <c r="Q30" s="142"/>
      <c r="R30" s="142"/>
      <c r="S30" s="144"/>
      <c r="T30" s="144"/>
      <c r="U30" s="144"/>
      <c r="V30" s="183"/>
      <c r="W30" s="188"/>
      <c r="X30" s="198"/>
      <c r="Y30" s="181"/>
      <c r="Z30" s="142"/>
      <c r="AA30" s="142"/>
      <c r="AB30" s="142"/>
      <c r="AC30" s="142"/>
      <c r="AD30" s="142"/>
      <c r="AE30" s="142"/>
    </row>
    <row r="31" spans="1:31">
      <c r="A31" s="142"/>
      <c r="B31" s="142"/>
      <c r="C31" s="142"/>
      <c r="E31" s="141" t="s">
        <v>310</v>
      </c>
      <c r="F31" s="187">
        <v>100</v>
      </c>
      <c r="G31" s="186">
        <v>100</v>
      </c>
      <c r="H31" s="186">
        <v>100</v>
      </c>
      <c r="I31" s="186">
        <v>100</v>
      </c>
      <c r="J31" s="185">
        <v>100</v>
      </c>
      <c r="K31" s="184">
        <v>100</v>
      </c>
      <c r="L31" s="141"/>
      <c r="M31" s="141"/>
      <c r="N31" s="142"/>
      <c r="O31" s="142"/>
      <c r="P31" s="142"/>
      <c r="Q31" s="142"/>
      <c r="R31" s="142"/>
      <c r="S31" s="144"/>
      <c r="T31" s="144"/>
      <c r="U31" s="144"/>
      <c r="V31" s="183" t="s">
        <v>309</v>
      </c>
      <c r="W31" s="182">
        <f>AQ66</f>
        <v>58.912333150000009</v>
      </c>
      <c r="X31" s="198">
        <f>+W31*12</f>
        <v>706.94799780000017</v>
      </c>
      <c r="Y31" s="181"/>
      <c r="Z31" s="142"/>
      <c r="AA31" s="142"/>
      <c r="AB31" s="142"/>
      <c r="AC31" s="142"/>
      <c r="AD31" s="142"/>
      <c r="AE31" s="142"/>
    </row>
    <row r="32" spans="1:31">
      <c r="A32" s="142"/>
      <c r="B32" s="142"/>
      <c r="C32" s="167"/>
      <c r="D32" s="141"/>
      <c r="E32" s="174"/>
      <c r="F32" s="180"/>
      <c r="G32" s="179"/>
      <c r="H32" s="179"/>
      <c r="I32" s="179"/>
      <c r="J32" s="178"/>
      <c r="K32" s="142"/>
      <c r="L32" s="142"/>
      <c r="M32" s="142"/>
      <c r="N32" s="142"/>
      <c r="O32" s="142"/>
      <c r="P32" s="142"/>
      <c r="Q32" s="142"/>
      <c r="R32" s="142"/>
      <c r="S32" s="135"/>
      <c r="T32" s="135"/>
      <c r="U32" s="135"/>
      <c r="V32" s="177"/>
      <c r="W32" s="176"/>
      <c r="X32" s="198"/>
      <c r="Y32" s="168"/>
      <c r="Z32" s="142"/>
      <c r="AA32" s="142"/>
      <c r="AB32" s="142"/>
      <c r="AC32" s="142"/>
      <c r="AD32" s="142"/>
      <c r="AE32" s="142"/>
    </row>
    <row r="33" spans="1:31" ht="14.7" thickBot="1">
      <c r="A33" s="142"/>
      <c r="E33" s="174"/>
      <c r="F33" s="173"/>
      <c r="G33" s="172"/>
      <c r="H33" s="172"/>
      <c r="I33" s="172"/>
      <c r="J33" s="172"/>
      <c r="L33" s="142"/>
      <c r="M33" s="142"/>
      <c r="N33" s="142"/>
      <c r="O33" s="142"/>
      <c r="P33" s="142"/>
      <c r="Q33" s="142"/>
      <c r="R33" s="142"/>
      <c r="S33" s="171"/>
      <c r="T33" s="171"/>
      <c r="U33" s="171"/>
      <c r="V33" s="170" t="s">
        <v>308</v>
      </c>
      <c r="W33" s="169">
        <f>AQ72</f>
        <v>223.23000000000002</v>
      </c>
      <c r="X33" s="522">
        <f>+W33*12</f>
        <v>2678.76</v>
      </c>
      <c r="Y33" s="168"/>
      <c r="Z33" s="142"/>
      <c r="AA33" s="142"/>
      <c r="AB33" s="142"/>
      <c r="AC33" s="142"/>
      <c r="AD33" s="142"/>
      <c r="AE33" s="142"/>
    </row>
    <row r="34" spans="1:31" ht="27" customHeight="1" thickTop="1">
      <c r="A34" s="142"/>
      <c r="B34" s="142"/>
      <c r="C34" s="167"/>
      <c r="D34" s="141"/>
      <c r="E34" s="160"/>
      <c r="F34" s="891" t="s">
        <v>307</v>
      </c>
      <c r="G34" s="891"/>
      <c r="H34" s="892"/>
      <c r="I34" s="892"/>
      <c r="J34" s="892"/>
      <c r="K34" s="892"/>
      <c r="L34" s="142"/>
      <c r="M34" s="142"/>
      <c r="N34" s="166"/>
      <c r="O34" s="166"/>
      <c r="P34" s="166"/>
      <c r="Q34" s="166"/>
      <c r="R34" s="166"/>
      <c r="S34" s="162"/>
      <c r="T34" s="162"/>
      <c r="U34" s="162"/>
      <c r="V34" s="165" t="s">
        <v>306</v>
      </c>
      <c r="W34" s="164"/>
      <c r="X34" s="523">
        <f>SUM(X27:X33)</f>
        <v>11270.073255315385</v>
      </c>
      <c r="Y34" s="142"/>
      <c r="Z34" s="158"/>
      <c r="AA34" s="135"/>
      <c r="AB34" s="135"/>
      <c r="AC34" s="135"/>
      <c r="AD34" s="135"/>
      <c r="AE34" s="135"/>
    </row>
    <row r="35" spans="1:31">
      <c r="A35" s="157"/>
      <c r="B35" s="156"/>
      <c r="C35" s="156"/>
      <c r="D35" s="154"/>
      <c r="E35" s="155"/>
      <c r="F35" s="154" t="s">
        <v>305</v>
      </c>
      <c r="G35" s="154" t="s">
        <v>304</v>
      </c>
      <c r="H35" s="154" t="s">
        <v>303</v>
      </c>
      <c r="I35" s="154" t="s">
        <v>302</v>
      </c>
      <c r="J35" s="154"/>
      <c r="K35" s="154"/>
      <c r="L35" s="154"/>
      <c r="M35" s="154"/>
      <c r="N35" s="153"/>
      <c r="O35" s="153"/>
      <c r="P35" s="153"/>
      <c r="Q35" s="153"/>
      <c r="R35" s="153"/>
      <c r="S35" s="162"/>
      <c r="T35" s="162"/>
      <c r="U35" s="162"/>
      <c r="V35" s="162"/>
      <c r="W35" s="163"/>
      <c r="X35" s="162"/>
      <c r="Y35" s="142"/>
      <c r="Z35" s="151"/>
      <c r="AA35" s="151"/>
      <c r="AB35" s="151"/>
      <c r="AC35" s="151"/>
      <c r="AD35" s="151"/>
      <c r="AE35" s="135"/>
    </row>
    <row r="36" spans="1:31" s="143" customFormat="1" ht="15.75" customHeight="1">
      <c r="A36" s="149"/>
      <c r="B36" s="149"/>
      <c r="C36" s="149"/>
      <c r="D36" s="148"/>
      <c r="E36" s="148" t="s">
        <v>298</v>
      </c>
      <c r="F36" s="138">
        <v>20.9</v>
      </c>
      <c r="G36" s="147">
        <v>18.21</v>
      </c>
      <c r="H36" s="147">
        <v>28.5</v>
      </c>
      <c r="I36" s="147">
        <v>48.47</v>
      </c>
      <c r="J36" s="146"/>
      <c r="K36" s="146"/>
      <c r="L36" s="145"/>
      <c r="M36" s="145"/>
      <c r="N36" s="144"/>
      <c r="O36" s="144"/>
      <c r="P36" s="144"/>
      <c r="Q36" s="144"/>
      <c r="R36" s="144"/>
      <c r="S36" s="149"/>
      <c r="T36" s="149"/>
      <c r="U36" s="149"/>
      <c r="V36" s="149"/>
      <c r="W36" s="149"/>
      <c r="X36" s="149"/>
      <c r="Y36" s="149"/>
      <c r="Z36" s="144"/>
      <c r="AA36" s="144"/>
      <c r="AB36" s="144"/>
      <c r="AC36" s="144"/>
      <c r="AD36" s="144"/>
      <c r="AE36" s="144"/>
    </row>
    <row r="37" spans="1:31" s="143" customFormat="1" ht="15.75" customHeight="1">
      <c r="A37" s="149"/>
      <c r="B37" s="149"/>
      <c r="C37" s="149"/>
      <c r="D37" s="148"/>
      <c r="E37" s="148" t="s">
        <v>297</v>
      </c>
      <c r="F37" s="138">
        <v>38.71</v>
      </c>
      <c r="G37" s="147">
        <v>36.42</v>
      </c>
      <c r="H37" s="147">
        <v>57.01</v>
      </c>
      <c r="I37" s="147">
        <v>96.95</v>
      </c>
      <c r="J37" s="146"/>
      <c r="K37" s="146"/>
      <c r="L37" s="145"/>
      <c r="M37" s="145"/>
      <c r="N37" s="144"/>
      <c r="O37" s="144"/>
      <c r="P37" s="144"/>
      <c r="Q37" s="144"/>
      <c r="R37" s="144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</row>
    <row r="38" spans="1:31" s="143" customFormat="1" ht="15.75" customHeight="1">
      <c r="A38" s="149"/>
      <c r="B38" s="149"/>
      <c r="C38" s="149"/>
      <c r="D38" s="148"/>
      <c r="E38" s="148" t="s">
        <v>296</v>
      </c>
      <c r="F38" s="138">
        <v>43.2</v>
      </c>
      <c r="G38" s="147">
        <v>45.71</v>
      </c>
      <c r="H38" s="147">
        <v>71.540000000000006</v>
      </c>
      <c r="I38" s="147">
        <v>121.66</v>
      </c>
      <c r="J38" s="146"/>
      <c r="K38" s="146"/>
      <c r="L38" s="145"/>
      <c r="M38" s="145"/>
      <c r="N38" s="144"/>
      <c r="O38" s="144"/>
      <c r="P38" s="144"/>
      <c r="Q38" s="144"/>
      <c r="R38" s="144"/>
      <c r="S38" s="149"/>
      <c r="T38" s="149"/>
      <c r="U38" s="149"/>
      <c r="V38" s="149"/>
      <c r="W38" s="150">
        <f>W27/3</f>
        <v>180.03279431153848</v>
      </c>
      <c r="X38" s="149"/>
      <c r="Y38" s="149"/>
      <c r="Z38" s="144"/>
      <c r="AA38" s="144"/>
      <c r="AB38" s="144"/>
      <c r="AC38" s="144"/>
      <c r="AD38" s="144"/>
      <c r="AE38" s="144"/>
    </row>
    <row r="39" spans="1:31" s="143" customFormat="1" ht="15.75" customHeight="1">
      <c r="A39" s="149"/>
      <c r="B39" s="149"/>
      <c r="C39" s="149"/>
      <c r="D39" s="148"/>
      <c r="E39" s="148" t="s">
        <v>295</v>
      </c>
      <c r="F39" s="138">
        <v>64.87</v>
      </c>
      <c r="G39" s="147">
        <v>66.83</v>
      </c>
      <c r="H39" s="147">
        <v>104.61</v>
      </c>
      <c r="I39" s="147">
        <v>177.88</v>
      </c>
      <c r="J39" s="146"/>
      <c r="K39" s="146"/>
      <c r="L39" s="145"/>
      <c r="M39" s="145"/>
      <c r="N39" s="144"/>
      <c r="O39" s="144"/>
      <c r="P39" s="144"/>
      <c r="Q39" s="144"/>
      <c r="R39" s="144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</row>
    <row r="40" spans="1:31">
      <c r="A40" s="142"/>
      <c r="B40" s="142"/>
      <c r="C40" s="142"/>
      <c r="D40" s="141"/>
      <c r="E40" s="140"/>
      <c r="F40" s="139"/>
      <c r="G40" s="138"/>
      <c r="H40" s="138"/>
      <c r="I40" s="138"/>
      <c r="J40" s="137"/>
      <c r="K40" s="137"/>
      <c r="L40" s="136"/>
      <c r="M40" s="136"/>
      <c r="N40" s="135"/>
      <c r="O40" s="135"/>
      <c r="P40" s="135"/>
      <c r="Q40" s="135"/>
      <c r="R40" s="135"/>
      <c r="S40" s="142"/>
      <c r="T40" s="142"/>
      <c r="U40" s="142"/>
      <c r="V40" s="142"/>
      <c r="W40" s="150">
        <f>W29/3</f>
        <v>38.977351730555561</v>
      </c>
      <c r="X40" s="142"/>
      <c r="Y40" s="142"/>
      <c r="Z40" s="135"/>
      <c r="AA40" s="135"/>
      <c r="AB40" s="135"/>
      <c r="AC40" s="135"/>
      <c r="AD40" s="135"/>
      <c r="AE40" s="135"/>
    </row>
    <row r="41" spans="1:31">
      <c r="K41" s="161"/>
      <c r="N41" s="135"/>
      <c r="O41" s="135"/>
      <c r="P41" s="135"/>
      <c r="Q41" s="135"/>
      <c r="R41" s="135"/>
      <c r="S41" s="142"/>
      <c r="T41" s="142"/>
      <c r="U41" s="142"/>
      <c r="V41" s="142"/>
      <c r="W41" s="142"/>
      <c r="X41" s="142"/>
      <c r="Y41" s="142"/>
      <c r="Z41" s="135"/>
      <c r="AA41" s="135"/>
      <c r="AB41" s="135"/>
      <c r="AC41" s="135"/>
      <c r="AD41" s="135"/>
      <c r="AE41" s="135"/>
    </row>
    <row r="42" spans="1:31" ht="27" customHeight="1">
      <c r="A42" s="142"/>
      <c r="B42" s="142"/>
      <c r="C42" s="142"/>
      <c r="D42" s="141"/>
      <c r="E42" s="160"/>
      <c r="F42" s="891" t="s">
        <v>301</v>
      </c>
      <c r="G42" s="891"/>
      <c r="H42" s="892"/>
      <c r="I42" s="892"/>
      <c r="J42" s="892"/>
      <c r="K42" s="892"/>
      <c r="L42" s="142"/>
      <c r="M42" s="142"/>
      <c r="N42" s="135"/>
      <c r="O42" s="135"/>
      <c r="P42" s="135"/>
      <c r="Q42" s="135"/>
      <c r="R42" s="135"/>
      <c r="S42" s="135"/>
      <c r="T42" s="135"/>
      <c r="U42" s="135"/>
      <c r="V42" s="159"/>
      <c r="W42" s="150">
        <f>W31/3</f>
        <v>19.637444383333335</v>
      </c>
      <c r="X42" s="135"/>
      <c r="Y42" s="135"/>
      <c r="Z42" s="158"/>
      <c r="AA42" s="135"/>
      <c r="AB42" s="135"/>
      <c r="AC42" s="135"/>
      <c r="AD42" s="135"/>
      <c r="AE42" s="135"/>
    </row>
    <row r="43" spans="1:31">
      <c r="A43" s="157"/>
      <c r="B43" s="156"/>
      <c r="C43" s="156"/>
      <c r="D43" s="154"/>
      <c r="E43" s="155"/>
      <c r="F43" s="154" t="s">
        <v>300</v>
      </c>
      <c r="G43" s="154" t="s">
        <v>299</v>
      </c>
      <c r="H43" s="154"/>
      <c r="I43" s="154"/>
      <c r="J43" s="154"/>
      <c r="K43" s="154"/>
      <c r="L43" s="154"/>
      <c r="M43" s="154"/>
      <c r="N43" s="153"/>
      <c r="O43" s="153"/>
      <c r="P43" s="153"/>
      <c r="Q43" s="153"/>
      <c r="R43" s="153"/>
      <c r="S43" s="153"/>
      <c r="T43" s="153"/>
      <c r="U43" s="153"/>
      <c r="V43" s="153"/>
      <c r="W43" s="152"/>
      <c r="X43" s="152"/>
      <c r="Y43" s="152"/>
      <c r="Z43" s="151"/>
      <c r="AA43" s="151"/>
      <c r="AB43" s="151"/>
      <c r="AC43" s="151"/>
      <c r="AD43" s="151"/>
      <c r="AE43" s="135"/>
    </row>
    <row r="44" spans="1:31" s="143" customFormat="1" ht="15.75" customHeight="1">
      <c r="A44" s="149"/>
      <c r="B44" s="149"/>
      <c r="C44" s="149"/>
      <c r="D44" s="148"/>
      <c r="E44" s="148" t="s">
        <v>298</v>
      </c>
      <c r="F44" s="138">
        <v>6.88</v>
      </c>
      <c r="G44" s="147">
        <v>9.27</v>
      </c>
      <c r="H44" s="146"/>
      <c r="I44" s="146"/>
      <c r="J44" s="146"/>
      <c r="K44" s="146"/>
      <c r="L44" s="145"/>
      <c r="M44" s="145"/>
      <c r="N44" s="144"/>
      <c r="O44" s="144"/>
      <c r="P44" s="144"/>
      <c r="Q44" s="144"/>
      <c r="R44" s="144"/>
      <c r="S44" s="144"/>
      <c r="T44" s="144"/>
      <c r="U44" s="144"/>
      <c r="V44" s="144"/>
      <c r="W44" s="150">
        <f>W33/3</f>
        <v>74.410000000000011</v>
      </c>
      <c r="X44" s="144"/>
      <c r="Y44" s="144"/>
      <c r="Z44" s="144"/>
      <c r="AA44" s="144"/>
      <c r="AB44" s="144"/>
      <c r="AC44" s="144"/>
      <c r="AD44" s="144"/>
      <c r="AE44" s="144"/>
    </row>
    <row r="45" spans="1:31" s="143" customFormat="1" ht="15.75" customHeight="1">
      <c r="A45" s="149"/>
      <c r="B45" s="149"/>
      <c r="C45" s="149"/>
      <c r="D45" s="148"/>
      <c r="E45" s="148" t="s">
        <v>297</v>
      </c>
      <c r="F45" s="138">
        <v>13.77</v>
      </c>
      <c r="G45" s="147">
        <v>18.54</v>
      </c>
      <c r="H45" s="146"/>
      <c r="I45" s="146"/>
      <c r="J45" s="146"/>
      <c r="K45" s="146"/>
      <c r="L45" s="145"/>
      <c r="M45" s="145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</row>
    <row r="46" spans="1:31" s="143" customFormat="1" ht="15.75" customHeight="1">
      <c r="A46" s="149"/>
      <c r="B46" s="149"/>
      <c r="C46" s="149"/>
      <c r="D46" s="148"/>
      <c r="E46" s="148" t="s">
        <v>296</v>
      </c>
      <c r="F46" s="138">
        <v>13.9</v>
      </c>
      <c r="G46" s="147">
        <v>18.739999999999998</v>
      </c>
      <c r="H46" s="146"/>
      <c r="I46" s="146"/>
      <c r="J46" s="146"/>
      <c r="K46" s="146"/>
      <c r="L46" s="145"/>
      <c r="M46" s="145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</row>
    <row r="47" spans="1:31" s="143" customFormat="1" ht="15.75" customHeight="1">
      <c r="A47" s="149"/>
      <c r="B47" s="149"/>
      <c r="C47" s="149"/>
      <c r="D47" s="148"/>
      <c r="E47" s="148" t="s">
        <v>295</v>
      </c>
      <c r="F47" s="138">
        <v>22.18</v>
      </c>
      <c r="G47" s="147">
        <v>29.9</v>
      </c>
      <c r="H47" s="146"/>
      <c r="I47" s="146"/>
      <c r="J47" s="146"/>
      <c r="K47" s="146"/>
      <c r="L47" s="145"/>
      <c r="M47" s="145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</row>
    <row r="48" spans="1:31">
      <c r="A48" s="142"/>
      <c r="B48" s="142"/>
      <c r="C48" s="142"/>
      <c r="D48" s="141"/>
      <c r="E48" s="140"/>
      <c r="F48" s="139"/>
      <c r="G48" s="138"/>
      <c r="H48" s="137"/>
      <c r="I48" s="137"/>
      <c r="J48" s="137"/>
      <c r="K48" s="137"/>
      <c r="L48" s="136"/>
      <c r="M48" s="136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</row>
    <row r="52" spans="34:44">
      <c r="AK52" s="115"/>
      <c r="AL52" s="114"/>
    </row>
    <row r="53" spans="34:44" ht="18">
      <c r="AH53" s="134" t="s">
        <v>294</v>
      </c>
      <c r="AI53" s="894"/>
      <c r="AJ53" s="894"/>
      <c r="AK53" s="894"/>
      <c r="AL53" s="894"/>
      <c r="AM53" s="894"/>
      <c r="AN53" s="894"/>
      <c r="AO53" s="894"/>
      <c r="AP53" s="894"/>
      <c r="AQ53" s="894"/>
      <c r="AR53" s="894"/>
    </row>
    <row r="54" spans="34:44" ht="18">
      <c r="AH54" s="134" t="s">
        <v>293</v>
      </c>
      <c r="AI54" s="133">
        <f>W19</f>
        <v>21</v>
      </c>
    </row>
    <row r="56" spans="34:44" ht="18">
      <c r="AH56" s="122" t="s">
        <v>292</v>
      </c>
      <c r="AI56" s="124"/>
      <c r="AJ56" s="132" t="s">
        <v>291</v>
      </c>
      <c r="AK56" s="124"/>
      <c r="AL56" s="124"/>
      <c r="AM56" s="124"/>
      <c r="AN56" s="124"/>
      <c r="AO56" s="124"/>
      <c r="AP56" s="124"/>
      <c r="AQ56" s="132" t="s">
        <v>276</v>
      </c>
      <c r="AR56" s="132" t="s">
        <v>275</v>
      </c>
    </row>
    <row r="57" spans="34:44" ht="18">
      <c r="AH57" s="122" t="s">
        <v>290</v>
      </c>
      <c r="AI57" s="130" t="s">
        <v>289</v>
      </c>
      <c r="AJ57" s="128">
        <f>W21</f>
        <v>1071133.33</v>
      </c>
      <c r="AK57" s="124">
        <v>52</v>
      </c>
      <c r="AL57" s="124">
        <f>+AJ57/AK57</f>
        <v>20598.717884615387</v>
      </c>
      <c r="AM57" s="124">
        <v>0.6</v>
      </c>
      <c r="AN57" s="124">
        <f>+AL57*AM57</f>
        <v>12359.230730769232</v>
      </c>
      <c r="AO57" s="124">
        <v>0.437</v>
      </c>
      <c r="AP57" s="124">
        <v>10</v>
      </c>
      <c r="AQ57" s="123">
        <f>(AN57*AO57)/AP57</f>
        <v>540.09838293461542</v>
      </c>
      <c r="AR57" s="123">
        <f>+AQ57*12</f>
        <v>6481.1805952153845</v>
      </c>
    </row>
    <row r="58" spans="34:44" ht="18">
      <c r="AH58" s="122" t="s">
        <v>288</v>
      </c>
      <c r="AI58" s="130"/>
      <c r="AJ58" s="124"/>
      <c r="AK58" s="124"/>
      <c r="AL58" s="124"/>
      <c r="AM58" s="124"/>
      <c r="AN58" s="124"/>
      <c r="AO58" s="124"/>
      <c r="AP58" s="124"/>
      <c r="AQ58" s="123"/>
      <c r="AR58" s="123"/>
    </row>
    <row r="59" spans="34:44" ht="18">
      <c r="AH59" s="122" t="s">
        <v>287</v>
      </c>
      <c r="AI59" s="130"/>
      <c r="AJ59" s="124"/>
      <c r="AK59" s="124"/>
      <c r="AL59" s="124"/>
      <c r="AM59" s="124"/>
      <c r="AN59" s="124"/>
      <c r="AO59" s="124"/>
      <c r="AP59" s="124"/>
      <c r="AQ59" s="123"/>
      <c r="AR59" s="123"/>
    </row>
    <row r="60" spans="34:44" ht="18">
      <c r="AH60" s="131"/>
      <c r="AI60" s="130"/>
      <c r="AJ60" s="124"/>
      <c r="AK60" s="124"/>
      <c r="AL60" s="124"/>
      <c r="AM60" s="124"/>
      <c r="AN60" s="124"/>
      <c r="AO60" s="124"/>
      <c r="AP60" s="124"/>
      <c r="AQ60" s="123"/>
      <c r="AR60" s="123"/>
    </row>
    <row r="61" spans="34:44" ht="18">
      <c r="AH61" s="122" t="s">
        <v>286</v>
      </c>
      <c r="AI61" s="130" t="s">
        <v>285</v>
      </c>
      <c r="AJ61" s="128">
        <f>W21</f>
        <v>1071133.33</v>
      </c>
      <c r="AK61" s="124">
        <v>12</v>
      </c>
      <c r="AL61" s="124">
        <f>+AJ61/AK61</f>
        <v>89261.11083333334</v>
      </c>
      <c r="AM61" s="124"/>
      <c r="AN61" s="124"/>
      <c r="AO61" s="124">
        <v>0.13100000000000001</v>
      </c>
      <c r="AP61" s="124">
        <v>100</v>
      </c>
      <c r="AQ61" s="123">
        <f>+(AL61*AO61)/AP61</f>
        <v>116.93205519166668</v>
      </c>
      <c r="AR61" s="123">
        <f>+AQ61*12</f>
        <v>1403.1846623000001</v>
      </c>
    </row>
    <row r="62" spans="34:44" ht="18">
      <c r="AH62" s="122" t="s">
        <v>284</v>
      </c>
      <c r="AI62" s="130"/>
      <c r="AJ62" s="124"/>
      <c r="AK62" s="124"/>
      <c r="AL62" s="124"/>
      <c r="AM62" s="124"/>
      <c r="AN62" s="124"/>
      <c r="AO62" s="124"/>
      <c r="AP62" s="124"/>
      <c r="AQ62" s="123"/>
      <c r="AR62" s="123"/>
    </row>
    <row r="63" spans="34:44" ht="18">
      <c r="AH63" s="122" t="s">
        <v>283</v>
      </c>
      <c r="AI63" s="130"/>
      <c r="AJ63" s="124"/>
      <c r="AK63" s="124"/>
      <c r="AL63" s="124"/>
      <c r="AM63" s="124"/>
      <c r="AN63" s="124"/>
      <c r="AO63" s="124"/>
      <c r="AP63" s="124"/>
      <c r="AQ63" s="123"/>
      <c r="AR63" s="123"/>
    </row>
    <row r="64" spans="34:44" ht="18">
      <c r="AH64" s="122" t="s">
        <v>282</v>
      </c>
      <c r="AI64" s="130"/>
      <c r="AJ64" s="124"/>
      <c r="AK64" s="124"/>
      <c r="AL64" s="124"/>
      <c r="AM64" s="124"/>
      <c r="AN64" s="124"/>
      <c r="AO64" s="124"/>
      <c r="AP64" s="124"/>
      <c r="AQ64" s="123"/>
      <c r="AR64" s="123"/>
    </row>
    <row r="65" spans="34:44" ht="18">
      <c r="AH65" s="131"/>
      <c r="AI65" s="130"/>
      <c r="AJ65" s="124"/>
      <c r="AK65" s="124"/>
      <c r="AL65" s="124"/>
      <c r="AM65" s="124"/>
      <c r="AN65" s="124"/>
      <c r="AO65" s="124"/>
      <c r="AP65" s="124"/>
      <c r="AQ65" s="123"/>
      <c r="AR65" s="123"/>
    </row>
    <row r="66" spans="34:44" ht="18">
      <c r="AH66" s="122" t="s">
        <v>281</v>
      </c>
      <c r="AI66" s="129" t="s">
        <v>280</v>
      </c>
      <c r="AJ66" s="128">
        <f>W21</f>
        <v>1071133.33</v>
      </c>
      <c r="AK66" s="127"/>
      <c r="AL66" s="127"/>
      <c r="AM66" s="127"/>
      <c r="AN66" s="127"/>
      <c r="AO66" s="127">
        <v>5.5E-2</v>
      </c>
      <c r="AP66" s="127">
        <v>1000</v>
      </c>
      <c r="AQ66" s="126">
        <f>+(AJ66*AO66)/AP66</f>
        <v>58.912333150000009</v>
      </c>
      <c r="AR66" s="126">
        <f>+AQ66*12</f>
        <v>706.94799780000017</v>
      </c>
    </row>
    <row r="67" spans="34:44" ht="18">
      <c r="AH67" s="122" t="s">
        <v>279</v>
      </c>
      <c r="AI67" s="124"/>
      <c r="AJ67" s="124"/>
      <c r="AK67" s="124"/>
      <c r="AL67" s="124"/>
      <c r="AM67" s="124"/>
      <c r="AN67" s="124"/>
      <c r="AO67" s="124"/>
      <c r="AP67" s="124"/>
      <c r="AQ67" s="123"/>
      <c r="AR67" s="123"/>
    </row>
    <row r="68" spans="34:44" ht="18">
      <c r="AH68" s="122" t="s">
        <v>278</v>
      </c>
      <c r="AI68" s="124"/>
      <c r="AJ68" s="124"/>
      <c r="AK68" s="124"/>
      <c r="AL68" s="124"/>
      <c r="AM68" s="124"/>
      <c r="AN68" s="124"/>
      <c r="AO68" s="124"/>
      <c r="AP68" s="124"/>
      <c r="AQ68" s="125">
        <f>+AQ57+AQ61+AQ66</f>
        <v>715.94277127628209</v>
      </c>
      <c r="AR68" s="125">
        <f>AR57+AR61+AR66</f>
        <v>8591.3132553153846</v>
      </c>
    </row>
    <row r="69" spans="34:44" ht="18">
      <c r="AI69" s="124"/>
      <c r="AJ69" s="124"/>
      <c r="AK69" s="124"/>
      <c r="AL69" s="124"/>
      <c r="AM69" s="124"/>
      <c r="AN69" s="124"/>
      <c r="AO69" s="124"/>
      <c r="AP69" s="124"/>
      <c r="AQ69" s="123"/>
      <c r="AR69" s="123"/>
    </row>
    <row r="70" spans="34:44" ht="18">
      <c r="AI70" s="124"/>
      <c r="AJ70" s="124"/>
      <c r="AK70" s="124"/>
      <c r="AL70" s="124"/>
      <c r="AM70" s="124"/>
      <c r="AN70" s="124"/>
      <c r="AO70" s="124"/>
      <c r="AP70" s="124"/>
      <c r="AQ70" s="123"/>
      <c r="AR70" s="123"/>
    </row>
    <row r="71" spans="34:44" ht="15">
      <c r="AH71" s="122"/>
      <c r="AJ71" s="121" t="s">
        <v>277</v>
      </c>
      <c r="AK71" s="121"/>
      <c r="AL71" s="121"/>
      <c r="AM71" s="121"/>
      <c r="AN71" s="121"/>
      <c r="AO71" s="121"/>
      <c r="AP71" s="121"/>
      <c r="AQ71" s="120" t="s">
        <v>276</v>
      </c>
      <c r="AR71" s="120" t="s">
        <v>275</v>
      </c>
    </row>
    <row r="72" spans="34:44">
      <c r="AI72" s="113" t="s">
        <v>274</v>
      </c>
      <c r="AJ72" s="113">
        <v>10.63</v>
      </c>
      <c r="AQ72" s="119">
        <f>AJ72*AI54</f>
        <v>223.23000000000002</v>
      </c>
      <c r="AR72" s="119">
        <f>+AQ72*12</f>
        <v>2678.76</v>
      </c>
    </row>
    <row r="74" spans="34:44" ht="14.7" thickBot="1">
      <c r="AR74" s="118"/>
    </row>
    <row r="75" spans="34:44" ht="18.350000000000001" thickTop="1">
      <c r="AQ75" s="116"/>
      <c r="AR75" s="117">
        <f>AR72+AR68</f>
        <v>11270.073255315385</v>
      </c>
    </row>
    <row r="76" spans="34:44">
      <c r="AQ76" s="116"/>
    </row>
  </sheetData>
  <mergeCells count="12">
    <mergeCell ref="AI53:AR53"/>
    <mergeCell ref="W21:X21"/>
    <mergeCell ref="F26:K26"/>
    <mergeCell ref="A27:B27"/>
    <mergeCell ref="F34:K34"/>
    <mergeCell ref="F42:K42"/>
    <mergeCell ref="E1:K1"/>
    <mergeCell ref="N1:V1"/>
    <mergeCell ref="W1:Y1"/>
    <mergeCell ref="AC1:AD1"/>
    <mergeCell ref="F17:K17"/>
    <mergeCell ref="N17:Y17"/>
  </mergeCells>
  <dataValidations count="3">
    <dataValidation type="list" allowBlank="1" showInputMessage="1" showErrorMessage="1" sqref="W3" xr:uid="{00000000-0002-0000-0600-000000000000}">
      <formula1>$F$3:$K$3</formula1>
    </dataValidation>
    <dataValidation type="list" allowBlank="1" showInputMessage="1" showErrorMessage="1" sqref="X3" xr:uid="{00000000-0002-0000-0600-000001000000}">
      <formula1>$P$3:$R$3</formula1>
    </dataValidation>
    <dataValidation type="list" allowBlank="1" showInputMessage="1" showErrorMessage="1" sqref="Y3" xr:uid="{00000000-0002-0000-0600-000002000000}">
      <formula1>$T$3:$U$3</formula1>
    </dataValidation>
  </dataValidations>
  <pageMargins left="0.46" right="0.28000000000000003" top="0.75" bottom="0.75" header="0.3" footer="0.3"/>
  <pageSetup scale="81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2"/>
  <sheetViews>
    <sheetView workbookViewId="0">
      <selection activeCell="K5" sqref="K5"/>
    </sheetView>
  </sheetViews>
  <sheetFormatPr defaultColWidth="8.8203125" defaultRowHeight="14"/>
  <cols>
    <col min="1" max="1" width="3.46875" style="525" customWidth="1"/>
    <col min="2" max="2" width="16.8203125" style="525" customWidth="1"/>
    <col min="3" max="3" width="15.46875" style="525" bestFit="1" customWidth="1"/>
    <col min="4" max="4" width="15.46875" style="525" customWidth="1"/>
    <col min="5" max="5" width="16.46875" style="525" customWidth="1"/>
    <col min="6" max="6" width="14.46875" style="525" customWidth="1"/>
    <col min="7" max="7" width="14.46875" style="525" bestFit="1" customWidth="1"/>
    <col min="8" max="8" width="14.8203125" style="525" customWidth="1"/>
    <col min="9" max="10" width="8.8203125" style="525"/>
    <col min="11" max="11" width="12.46875" style="525" bestFit="1" customWidth="1"/>
    <col min="12" max="16384" width="8.8203125" style="525"/>
  </cols>
  <sheetData>
    <row r="1" spans="1:11" ht="20.350000000000001">
      <c r="A1" s="527" t="s">
        <v>505</v>
      </c>
    </row>
    <row r="2" spans="1:11" ht="17.350000000000001">
      <c r="A2" s="704" t="s">
        <v>909</v>
      </c>
    </row>
    <row r="4" spans="1:11">
      <c r="C4" s="525" t="s">
        <v>367</v>
      </c>
      <c r="D4" s="525" t="s">
        <v>696</v>
      </c>
      <c r="E4" s="525" t="s">
        <v>368</v>
      </c>
      <c r="F4" s="525" t="s">
        <v>369</v>
      </c>
      <c r="G4" s="525" t="s">
        <v>372</v>
      </c>
    </row>
    <row r="5" spans="1:11">
      <c r="A5" s="525">
        <v>1</v>
      </c>
      <c r="B5" s="525" t="s">
        <v>359</v>
      </c>
      <c r="C5" s="705">
        <v>375000</v>
      </c>
      <c r="D5" s="705">
        <v>26000</v>
      </c>
      <c r="E5" s="705">
        <v>125000</v>
      </c>
      <c r="F5" s="705">
        <f>SUM(C5:E5)</f>
        <v>526000</v>
      </c>
      <c r="G5" s="706">
        <f>$C$22-F5</f>
        <v>925938.20863992791</v>
      </c>
      <c r="H5" s="706">
        <f>F5+G5</f>
        <v>1451938.2086399279</v>
      </c>
      <c r="K5" s="703"/>
    </row>
    <row r="6" spans="1:11">
      <c r="A6" s="525">
        <f>A5+1</f>
        <v>2</v>
      </c>
      <c r="B6" s="525" t="s">
        <v>360</v>
      </c>
      <c r="C6" s="705">
        <v>550000</v>
      </c>
      <c r="D6" s="705"/>
      <c r="E6" s="705">
        <v>200000</v>
      </c>
      <c r="F6" s="705">
        <f t="shared" ref="F6:F7" si="0">C6+E6</f>
        <v>750000</v>
      </c>
      <c r="G6" s="706">
        <f t="shared" ref="G6:G19" si="1">$C$22-F6</f>
        <v>701938.20863992791</v>
      </c>
      <c r="H6" s="706">
        <f t="shared" ref="H6:H19" si="2">F6+G6</f>
        <v>1451938.2086399279</v>
      </c>
    </row>
    <row r="7" spans="1:11">
      <c r="A7" s="525">
        <f t="shared" ref="A7:A19" si="3">A6+1</f>
        <v>3</v>
      </c>
      <c r="B7" s="525" t="s">
        <v>361</v>
      </c>
      <c r="C7" s="705">
        <v>750000</v>
      </c>
      <c r="D7" s="705"/>
      <c r="E7" s="705">
        <v>250000</v>
      </c>
      <c r="F7" s="705">
        <f t="shared" si="0"/>
        <v>1000000</v>
      </c>
      <c r="G7" s="706">
        <f t="shared" si="1"/>
        <v>451938.20863992791</v>
      </c>
      <c r="H7" s="706">
        <f t="shared" si="2"/>
        <v>1451938.2086399279</v>
      </c>
      <c r="K7" s="703"/>
    </row>
    <row r="8" spans="1:11">
      <c r="A8" s="525">
        <f t="shared" si="3"/>
        <v>4</v>
      </c>
      <c r="B8" s="525" t="s">
        <v>362</v>
      </c>
      <c r="C8" s="705">
        <v>925000</v>
      </c>
      <c r="D8" s="705"/>
      <c r="E8" s="705">
        <v>325000</v>
      </c>
      <c r="F8" s="705">
        <f t="shared" ref="F8:F10" si="4">C8+E8</f>
        <v>1250000</v>
      </c>
      <c r="G8" s="706">
        <f t="shared" si="1"/>
        <v>201938.20863992791</v>
      </c>
      <c r="H8" s="706">
        <f t="shared" si="2"/>
        <v>1451938.2086399279</v>
      </c>
    </row>
    <row r="9" spans="1:11">
      <c r="A9" s="525">
        <f t="shared" si="3"/>
        <v>5</v>
      </c>
      <c r="B9" s="525" t="s">
        <v>363</v>
      </c>
      <c r="C9" s="705">
        <v>1125000</v>
      </c>
      <c r="D9" s="705"/>
      <c r="E9" s="705">
        <v>375000</v>
      </c>
      <c r="F9" s="705">
        <f t="shared" si="4"/>
        <v>1500000</v>
      </c>
      <c r="G9" s="706">
        <f t="shared" si="1"/>
        <v>-48061.791360072093</v>
      </c>
      <c r="H9" s="706">
        <f t="shared" si="2"/>
        <v>1451938.2086399279</v>
      </c>
    </row>
    <row r="10" spans="1:11">
      <c r="A10" s="525">
        <f t="shared" si="3"/>
        <v>6</v>
      </c>
      <c r="B10" s="525" t="s">
        <v>364</v>
      </c>
      <c r="C10" s="705">
        <f>C9*1.02</f>
        <v>1147500</v>
      </c>
      <c r="D10" s="705"/>
      <c r="E10" s="705">
        <f>E9*1.02</f>
        <v>382500</v>
      </c>
      <c r="F10" s="705">
        <f t="shared" si="4"/>
        <v>1530000</v>
      </c>
      <c r="G10" s="706">
        <f t="shared" si="1"/>
        <v>-78061.791360072093</v>
      </c>
      <c r="H10" s="706">
        <f t="shared" si="2"/>
        <v>1451938.2086399279</v>
      </c>
    </row>
    <row r="11" spans="1:11">
      <c r="A11" s="525">
        <f t="shared" si="3"/>
        <v>7</v>
      </c>
      <c r="B11" s="525" t="s">
        <v>365</v>
      </c>
      <c r="C11" s="705">
        <f t="shared" ref="C11:C19" si="5">C10*1.02</f>
        <v>1170450</v>
      </c>
      <c r="D11" s="705"/>
      <c r="E11" s="705">
        <f t="shared" ref="E11:E19" si="6">E10*1.02</f>
        <v>390150</v>
      </c>
      <c r="F11" s="705">
        <f t="shared" ref="F11:F19" si="7">C11+E11</f>
        <v>1560600</v>
      </c>
      <c r="G11" s="706">
        <f t="shared" si="1"/>
        <v>-108661.79136007209</v>
      </c>
      <c r="H11" s="706">
        <f t="shared" si="2"/>
        <v>1451938.2086399279</v>
      </c>
    </row>
    <row r="12" spans="1:11">
      <c r="A12" s="525">
        <f t="shared" si="3"/>
        <v>8</v>
      </c>
      <c r="B12" s="525" t="s">
        <v>366</v>
      </c>
      <c r="C12" s="705">
        <f t="shared" si="5"/>
        <v>1193859</v>
      </c>
      <c r="D12" s="705"/>
      <c r="E12" s="705">
        <f t="shared" si="6"/>
        <v>397953</v>
      </c>
      <c r="F12" s="705">
        <f t="shared" si="7"/>
        <v>1591812</v>
      </c>
      <c r="G12" s="706">
        <f t="shared" si="1"/>
        <v>-139873.79136007209</v>
      </c>
      <c r="H12" s="706">
        <f t="shared" si="2"/>
        <v>1451938.2086399279</v>
      </c>
    </row>
    <row r="13" spans="1:11">
      <c r="A13" s="525">
        <f t="shared" si="3"/>
        <v>9</v>
      </c>
      <c r="B13" s="525" t="s">
        <v>370</v>
      </c>
      <c r="C13" s="705">
        <f t="shared" si="5"/>
        <v>1217736.18</v>
      </c>
      <c r="D13" s="705"/>
      <c r="E13" s="705">
        <f t="shared" si="6"/>
        <v>405912.06</v>
      </c>
      <c r="F13" s="705">
        <f t="shared" si="7"/>
        <v>1623648.24</v>
      </c>
      <c r="G13" s="706">
        <f t="shared" si="1"/>
        <v>-171710.03136007208</v>
      </c>
      <c r="H13" s="706">
        <f t="shared" si="2"/>
        <v>1451938.2086399279</v>
      </c>
    </row>
    <row r="14" spans="1:11">
      <c r="A14" s="525">
        <f t="shared" si="3"/>
        <v>10</v>
      </c>
      <c r="B14" s="525" t="s">
        <v>385</v>
      </c>
      <c r="C14" s="705">
        <f t="shared" si="5"/>
        <v>1242090.9035999998</v>
      </c>
      <c r="D14" s="705"/>
      <c r="E14" s="705">
        <f t="shared" si="6"/>
        <v>414030.30119999999</v>
      </c>
      <c r="F14" s="705">
        <f t="shared" si="7"/>
        <v>1656121.2047999999</v>
      </c>
      <c r="G14" s="706">
        <f t="shared" si="1"/>
        <v>-204182.99616007204</v>
      </c>
      <c r="H14" s="706">
        <f t="shared" si="2"/>
        <v>1451938.2086399279</v>
      </c>
    </row>
    <row r="15" spans="1:11">
      <c r="A15" s="525">
        <f t="shared" si="3"/>
        <v>11</v>
      </c>
      <c r="B15" s="525" t="s">
        <v>386</v>
      </c>
      <c r="C15" s="705">
        <f t="shared" si="5"/>
        <v>1266932.7216719999</v>
      </c>
      <c r="D15" s="705"/>
      <c r="E15" s="705">
        <f t="shared" si="6"/>
        <v>422310.90722399997</v>
      </c>
      <c r="F15" s="705">
        <f t="shared" si="7"/>
        <v>1689243.6288959999</v>
      </c>
      <c r="G15" s="706">
        <f t="shared" si="1"/>
        <v>-237305.42025607196</v>
      </c>
      <c r="H15" s="706">
        <f t="shared" si="2"/>
        <v>1451938.2086399279</v>
      </c>
    </row>
    <row r="16" spans="1:11">
      <c r="A16" s="525">
        <f t="shared" si="3"/>
        <v>12</v>
      </c>
      <c r="B16" s="525" t="s">
        <v>387</v>
      </c>
      <c r="C16" s="705">
        <f t="shared" si="5"/>
        <v>1292271.3761054398</v>
      </c>
      <c r="D16" s="705"/>
      <c r="E16" s="705">
        <f t="shared" si="6"/>
        <v>430757.12536847999</v>
      </c>
      <c r="F16" s="705">
        <f t="shared" si="7"/>
        <v>1723028.50147392</v>
      </c>
      <c r="G16" s="706">
        <f t="shared" si="1"/>
        <v>-271090.29283399205</v>
      </c>
      <c r="H16" s="706">
        <f t="shared" si="2"/>
        <v>1451938.2086399279</v>
      </c>
    </row>
    <row r="17" spans="1:8">
      <c r="A17" s="525">
        <f t="shared" si="3"/>
        <v>13</v>
      </c>
      <c r="B17" s="525" t="s">
        <v>388</v>
      </c>
      <c r="C17" s="705">
        <f t="shared" si="5"/>
        <v>1318116.8036275487</v>
      </c>
      <c r="D17" s="705"/>
      <c r="E17" s="705">
        <f t="shared" si="6"/>
        <v>439372.26787584962</v>
      </c>
      <c r="F17" s="705">
        <f t="shared" si="7"/>
        <v>1757489.0715033985</v>
      </c>
      <c r="G17" s="706">
        <f t="shared" si="1"/>
        <v>-305550.86286347057</v>
      </c>
      <c r="H17" s="706">
        <f t="shared" si="2"/>
        <v>1451938.2086399279</v>
      </c>
    </row>
    <row r="18" spans="1:8">
      <c r="A18" s="525">
        <f t="shared" si="3"/>
        <v>14</v>
      </c>
      <c r="B18" s="525" t="s">
        <v>389</v>
      </c>
      <c r="C18" s="705">
        <f t="shared" si="5"/>
        <v>1344479.1397000998</v>
      </c>
      <c r="D18" s="705"/>
      <c r="E18" s="705">
        <f t="shared" si="6"/>
        <v>448159.71323336661</v>
      </c>
      <c r="F18" s="705">
        <f t="shared" si="7"/>
        <v>1792638.8529334664</v>
      </c>
      <c r="G18" s="706">
        <f t="shared" si="1"/>
        <v>-340700.64429353853</v>
      </c>
      <c r="H18" s="706">
        <f t="shared" si="2"/>
        <v>1451938.2086399279</v>
      </c>
    </row>
    <row r="19" spans="1:8">
      <c r="A19" s="525">
        <f t="shared" si="3"/>
        <v>15</v>
      </c>
      <c r="B19" s="525" t="s">
        <v>390</v>
      </c>
      <c r="C19" s="705">
        <f t="shared" si="5"/>
        <v>1371368.7224941019</v>
      </c>
      <c r="D19" s="705"/>
      <c r="E19" s="705">
        <f t="shared" si="6"/>
        <v>457122.90749803395</v>
      </c>
      <c r="F19" s="705">
        <f t="shared" si="7"/>
        <v>1828491.6299921358</v>
      </c>
      <c r="G19" s="706">
        <f t="shared" si="1"/>
        <v>-376553.42135220789</v>
      </c>
      <c r="H19" s="706">
        <f t="shared" si="2"/>
        <v>1451938.2086399279</v>
      </c>
    </row>
    <row r="20" spans="1:8">
      <c r="C20" s="706"/>
      <c r="D20" s="706"/>
      <c r="E20" s="706"/>
      <c r="F20" s="706"/>
      <c r="G20" s="706"/>
      <c r="H20" s="706"/>
    </row>
    <row r="21" spans="1:8">
      <c r="B21" s="525" t="s">
        <v>0</v>
      </c>
      <c r="C21" s="706">
        <f>SUM(F5:F19)</f>
        <v>21779073.129598919</v>
      </c>
      <c r="D21" s="706"/>
      <c r="E21" s="706"/>
      <c r="F21" s="706"/>
      <c r="G21" s="706"/>
      <c r="H21" s="706"/>
    </row>
    <row r="22" spans="1:8">
      <c r="B22" s="525" t="s">
        <v>371</v>
      </c>
      <c r="C22" s="705">
        <f>C21/COUNT(F5:F19)</f>
        <v>1451938.2086399279</v>
      </c>
      <c r="D22" s="705"/>
      <c r="E22" s="706"/>
      <c r="F22" s="706"/>
      <c r="G22" s="706"/>
      <c r="H22" s="706"/>
    </row>
  </sheetData>
  <pageMargins left="0.45" right="0.45" top="0.5" bottom="0.5" header="0" footer="0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52"/>
  <sheetViews>
    <sheetView topLeftCell="A4" zoomScale="135" workbookViewId="0">
      <pane ySplit="2" topLeftCell="A27" activePane="bottomLeft" state="frozen"/>
      <selection activeCell="C4" sqref="C4"/>
      <selection pane="bottomLeft" activeCell="C6" sqref="A6:XFD6"/>
    </sheetView>
  </sheetViews>
  <sheetFormatPr defaultColWidth="8.8203125" defaultRowHeight="14.35"/>
  <cols>
    <col min="1" max="1" width="8.8203125" style="301"/>
    <col min="2" max="2" width="12.46875" style="301" customWidth="1"/>
    <col min="3" max="3" width="46.46875" style="301" customWidth="1"/>
    <col min="4" max="4" width="24.46875" style="301" customWidth="1"/>
    <col min="5" max="5" width="20.46875" style="301" customWidth="1"/>
    <col min="6" max="6" width="19.1171875" style="301" customWidth="1"/>
    <col min="7" max="7" width="16" style="301" customWidth="1"/>
    <col min="8" max="16384" width="8.8203125" style="301"/>
  </cols>
  <sheetData>
    <row r="1" spans="2:7" ht="14.7" thickBot="1"/>
    <row r="2" spans="2:7" ht="22.7">
      <c r="B2" s="901" t="s">
        <v>557</v>
      </c>
      <c r="C2" s="902"/>
      <c r="D2" s="902"/>
      <c r="E2" s="902"/>
      <c r="F2" s="902"/>
      <c r="G2" s="903"/>
    </row>
    <row r="3" spans="2:7" ht="18" thickBot="1">
      <c r="B3" s="904" t="s">
        <v>611</v>
      </c>
      <c r="C3" s="905"/>
      <c r="D3" s="905"/>
      <c r="E3" s="905"/>
      <c r="F3" s="905"/>
      <c r="G3" s="906"/>
    </row>
    <row r="4" spans="2:7" ht="16" thickBot="1">
      <c r="B4" s="302" t="s">
        <v>558</v>
      </c>
      <c r="C4" s="303"/>
      <c r="D4" s="303"/>
      <c r="E4" s="304"/>
      <c r="F4" s="304"/>
      <c r="G4" s="305"/>
    </row>
    <row r="5" spans="2:7" ht="14.7" thickBot="1">
      <c r="B5" s="306"/>
      <c r="C5" s="307"/>
      <c r="D5" s="308" t="s">
        <v>559</v>
      </c>
      <c r="E5" s="308" t="s">
        <v>560</v>
      </c>
      <c r="F5" s="308" t="s">
        <v>629</v>
      </c>
      <c r="G5" s="309" t="s">
        <v>630</v>
      </c>
    </row>
    <row r="6" spans="2:7">
      <c r="B6" s="310"/>
      <c r="C6" s="311"/>
      <c r="D6" s="311"/>
      <c r="E6" s="312"/>
      <c r="F6" s="312"/>
      <c r="G6" s="313"/>
    </row>
    <row r="7" spans="2:7">
      <c r="B7" s="314" t="s">
        <v>563</v>
      </c>
      <c r="C7" s="315"/>
      <c r="D7" s="315"/>
      <c r="E7" s="316"/>
      <c r="F7" s="316"/>
      <c r="G7" s="317"/>
    </row>
    <row r="8" spans="2:7">
      <c r="B8" s="907" t="s">
        <v>601</v>
      </c>
      <c r="C8" s="908"/>
      <c r="D8" s="318"/>
      <c r="E8" s="319"/>
      <c r="F8" s="319"/>
      <c r="G8" s="320"/>
    </row>
    <row r="9" spans="2:7">
      <c r="B9" s="899" t="s">
        <v>564</v>
      </c>
      <c r="C9" s="900"/>
      <c r="D9" s="321">
        <v>2091</v>
      </c>
      <c r="E9" s="321">
        <v>2152</v>
      </c>
      <c r="F9" s="321">
        <v>2152</v>
      </c>
      <c r="G9" s="322"/>
    </row>
    <row r="10" spans="2:7">
      <c r="B10" s="899" t="s">
        <v>565</v>
      </c>
      <c r="C10" s="900"/>
      <c r="D10" s="321">
        <v>1767</v>
      </c>
      <c r="E10" s="321">
        <v>1942</v>
      </c>
      <c r="F10" s="321">
        <v>1942</v>
      </c>
      <c r="G10" s="322"/>
    </row>
    <row r="11" spans="2:7">
      <c r="B11" s="899" t="s">
        <v>566</v>
      </c>
      <c r="C11" s="900"/>
      <c r="D11" s="321">
        <v>21650</v>
      </c>
      <c r="E11" s="321">
        <v>27576</v>
      </c>
      <c r="F11" s="321">
        <v>32270</v>
      </c>
      <c r="G11" s="322"/>
    </row>
    <row r="12" spans="2:7">
      <c r="B12" s="899" t="s">
        <v>567</v>
      </c>
      <c r="C12" s="900"/>
      <c r="D12" s="321">
        <v>10620</v>
      </c>
      <c r="E12" s="321">
        <v>31070</v>
      </c>
      <c r="F12" s="321">
        <v>0</v>
      </c>
      <c r="G12" s="322"/>
    </row>
    <row r="13" spans="2:7">
      <c r="B13" s="899" t="s">
        <v>568</v>
      </c>
      <c r="C13" s="900"/>
      <c r="D13" s="321">
        <v>4212</v>
      </c>
      <c r="E13" s="321">
        <v>4301</v>
      </c>
      <c r="F13" s="321">
        <v>4212</v>
      </c>
      <c r="G13" s="322"/>
    </row>
    <row r="14" spans="2:7">
      <c r="B14" s="899" t="s">
        <v>569</v>
      </c>
      <c r="C14" s="900"/>
      <c r="D14" s="321">
        <v>1119</v>
      </c>
      <c r="E14" s="321">
        <v>1463</v>
      </c>
      <c r="F14" s="321">
        <v>1463</v>
      </c>
      <c r="G14" s="322"/>
    </row>
    <row r="15" spans="2:7">
      <c r="B15" s="899" t="s">
        <v>570</v>
      </c>
      <c r="C15" s="900"/>
      <c r="D15" s="321">
        <v>1356</v>
      </c>
      <c r="E15" s="321">
        <v>2998</v>
      </c>
      <c r="F15" s="321">
        <v>2998</v>
      </c>
      <c r="G15" s="322"/>
    </row>
    <row r="16" spans="2:7">
      <c r="B16" s="899" t="s">
        <v>571</v>
      </c>
      <c r="C16" s="900"/>
      <c r="D16" s="321">
        <v>3997</v>
      </c>
      <c r="E16" s="321">
        <v>4298</v>
      </c>
      <c r="F16" s="321">
        <v>4298</v>
      </c>
      <c r="G16" s="322"/>
    </row>
    <row r="17" spans="2:7">
      <c r="B17" s="899" t="s">
        <v>572</v>
      </c>
      <c r="C17" s="900"/>
      <c r="D17" s="321">
        <v>350</v>
      </c>
      <c r="E17" s="321">
        <v>775</v>
      </c>
      <c r="F17" s="321">
        <v>350</v>
      </c>
      <c r="G17" s="322"/>
    </row>
    <row r="18" spans="2:7">
      <c r="B18" s="899" t="s">
        <v>573</v>
      </c>
      <c r="C18" s="900"/>
      <c r="D18" s="321">
        <v>1688</v>
      </c>
      <c r="E18" s="321">
        <v>2412</v>
      </c>
      <c r="F18" s="321">
        <v>2412</v>
      </c>
      <c r="G18" s="322"/>
    </row>
    <row r="19" spans="2:7">
      <c r="B19" s="909" t="s">
        <v>574</v>
      </c>
      <c r="C19" s="910"/>
      <c r="D19" s="323">
        <f>SUM(D9:D18)</f>
        <v>48850</v>
      </c>
      <c r="E19" s="323">
        <f t="shared" ref="E19:G19" si="0">SUM(E9:E18)</f>
        <v>78987</v>
      </c>
      <c r="F19" s="339">
        <f t="shared" si="0"/>
        <v>52097</v>
      </c>
      <c r="G19" s="324">
        <f t="shared" si="0"/>
        <v>0</v>
      </c>
    </row>
    <row r="20" spans="2:7">
      <c r="B20" s="911" t="s">
        <v>602</v>
      </c>
      <c r="C20" s="912"/>
      <c r="D20" s="325"/>
      <c r="E20" s="325"/>
      <c r="F20" s="325"/>
      <c r="G20" s="326"/>
    </row>
    <row r="21" spans="2:7">
      <c r="B21" s="899" t="s">
        <v>575</v>
      </c>
      <c r="C21" s="900"/>
      <c r="D21" s="321">
        <v>1556</v>
      </c>
      <c r="E21" s="321">
        <v>5294</v>
      </c>
      <c r="F21" s="321"/>
      <c r="G21" s="321">
        <v>5294</v>
      </c>
    </row>
    <row r="22" spans="2:7">
      <c r="B22" s="899" t="s">
        <v>576</v>
      </c>
      <c r="C22" s="900"/>
      <c r="D22" s="321">
        <v>1510</v>
      </c>
      <c r="E22" s="321">
        <v>4200</v>
      </c>
      <c r="F22" s="321"/>
      <c r="G22" s="321">
        <v>1510</v>
      </c>
    </row>
    <row r="23" spans="2:7">
      <c r="B23" s="899" t="s">
        <v>577</v>
      </c>
      <c r="C23" s="900"/>
      <c r="D23" s="321">
        <v>1388</v>
      </c>
      <c r="E23" s="321">
        <v>2796</v>
      </c>
      <c r="F23" s="321"/>
      <c r="G23" s="321"/>
    </row>
    <row r="24" spans="2:7">
      <c r="B24" s="899" t="s">
        <v>578</v>
      </c>
      <c r="C24" s="900"/>
      <c r="D24" s="321">
        <v>1899</v>
      </c>
      <c r="E24" s="321">
        <v>1999</v>
      </c>
      <c r="F24" s="321"/>
      <c r="G24" s="321">
        <v>1999</v>
      </c>
    </row>
    <row r="25" spans="2:7">
      <c r="B25" s="909" t="s">
        <v>579</v>
      </c>
      <c r="C25" s="910"/>
      <c r="D25" s="323">
        <f>SUM(D21:D24)</f>
        <v>6353</v>
      </c>
      <c r="E25" s="323">
        <f>SUM(E21:E24)</f>
        <v>14289</v>
      </c>
      <c r="F25" s="323">
        <f>SUM(F21:F24)</f>
        <v>0</v>
      </c>
      <c r="G25" s="340">
        <f>SUM(G21:G24)</f>
        <v>8803</v>
      </c>
    </row>
    <row r="26" spans="2:7">
      <c r="B26" s="907" t="s">
        <v>603</v>
      </c>
      <c r="C26" s="908"/>
      <c r="D26" s="319"/>
      <c r="E26" s="319"/>
      <c r="F26" s="319"/>
      <c r="G26" s="320"/>
    </row>
    <row r="27" spans="2:7">
      <c r="B27" s="899" t="s">
        <v>580</v>
      </c>
      <c r="C27" s="900"/>
      <c r="D27" s="321">
        <v>237</v>
      </c>
      <c r="E27" s="321">
        <v>303</v>
      </c>
      <c r="F27" s="321">
        <v>303</v>
      </c>
      <c r="G27" s="322"/>
    </row>
    <row r="28" spans="2:7">
      <c r="B28" s="899" t="s">
        <v>581</v>
      </c>
      <c r="C28" s="900"/>
      <c r="D28" s="321"/>
      <c r="E28" s="321"/>
      <c r="F28" s="321"/>
      <c r="G28" s="322"/>
    </row>
    <row r="29" spans="2:7">
      <c r="B29" s="899" t="s">
        <v>582</v>
      </c>
      <c r="C29" s="900"/>
      <c r="D29" s="321"/>
      <c r="E29" s="321"/>
      <c r="F29" s="321"/>
      <c r="G29" s="322"/>
    </row>
    <row r="30" spans="2:7">
      <c r="B30" s="899" t="s">
        <v>583</v>
      </c>
      <c r="C30" s="900"/>
      <c r="D30" s="321"/>
      <c r="E30" s="321"/>
      <c r="F30" s="321"/>
      <c r="G30" s="322"/>
    </row>
    <row r="31" spans="2:7">
      <c r="B31" s="899" t="s">
        <v>584</v>
      </c>
      <c r="C31" s="900"/>
      <c r="D31" s="321">
        <v>2430</v>
      </c>
      <c r="E31" s="321">
        <v>2524</v>
      </c>
      <c r="F31" s="321">
        <v>2524</v>
      </c>
      <c r="G31" s="322"/>
    </row>
    <row r="32" spans="2:7">
      <c r="B32" s="909" t="s">
        <v>585</v>
      </c>
      <c r="C32" s="910"/>
      <c r="D32" s="323">
        <f>SUM(D27:D31)</f>
        <v>2667</v>
      </c>
      <c r="E32" s="323">
        <f t="shared" ref="E32:G32" si="1">SUM(E27:E31)</f>
        <v>2827</v>
      </c>
      <c r="F32" s="339">
        <f t="shared" si="1"/>
        <v>2827</v>
      </c>
      <c r="G32" s="324">
        <f t="shared" si="1"/>
        <v>0</v>
      </c>
    </row>
    <row r="33" spans="2:7">
      <c r="B33" s="907" t="s">
        <v>600</v>
      </c>
      <c r="C33" s="908"/>
      <c r="D33" s="319"/>
      <c r="E33" s="319"/>
      <c r="F33" s="319"/>
      <c r="G33" s="320"/>
    </row>
    <row r="34" spans="2:7">
      <c r="B34" s="899" t="s">
        <v>586</v>
      </c>
      <c r="C34" s="900"/>
      <c r="D34" s="321">
        <v>2597</v>
      </c>
      <c r="E34" s="321">
        <v>3652</v>
      </c>
      <c r="F34" s="321">
        <v>2597</v>
      </c>
      <c r="G34" s="322"/>
    </row>
    <row r="35" spans="2:7">
      <c r="B35" s="899" t="s">
        <v>587</v>
      </c>
      <c r="C35" s="900"/>
      <c r="D35" s="321">
        <v>48</v>
      </c>
      <c r="E35" s="321">
        <v>175</v>
      </c>
      <c r="F35" s="321">
        <v>48</v>
      </c>
      <c r="G35" s="322"/>
    </row>
    <row r="36" spans="2:7">
      <c r="B36" s="899" t="s">
        <v>588</v>
      </c>
      <c r="C36" s="900"/>
      <c r="D36" s="321">
        <v>350</v>
      </c>
      <c r="E36" s="321">
        <v>377</v>
      </c>
      <c r="F36" s="321">
        <v>350</v>
      </c>
      <c r="G36" s="322"/>
    </row>
    <row r="37" spans="2:7">
      <c r="B37" s="909" t="s">
        <v>589</v>
      </c>
      <c r="C37" s="910"/>
      <c r="D37" s="323">
        <f>SUM(D34:D36)</f>
        <v>2995</v>
      </c>
      <c r="E37" s="323">
        <f t="shared" ref="E37:G37" si="2">SUM(E34:E36)</f>
        <v>4204</v>
      </c>
      <c r="F37" s="339">
        <f t="shared" si="2"/>
        <v>2995</v>
      </c>
      <c r="G37" s="324">
        <f t="shared" si="2"/>
        <v>0</v>
      </c>
    </row>
    <row r="38" spans="2:7">
      <c r="B38" s="911" t="s">
        <v>599</v>
      </c>
      <c r="C38" s="912"/>
      <c r="D38" s="325"/>
      <c r="E38" s="325"/>
      <c r="F38" s="325"/>
      <c r="G38" s="326"/>
    </row>
    <row r="39" spans="2:7">
      <c r="B39" s="899" t="s">
        <v>590</v>
      </c>
      <c r="C39" s="900"/>
      <c r="D39" s="321">
        <v>3111</v>
      </c>
      <c r="E39" s="321">
        <v>4881</v>
      </c>
      <c r="F39" s="321"/>
      <c r="G39" s="321">
        <v>4881</v>
      </c>
    </row>
    <row r="40" spans="2:7">
      <c r="B40" s="899" t="s">
        <v>591</v>
      </c>
      <c r="C40" s="900"/>
      <c r="D40" s="321">
        <v>564</v>
      </c>
      <c r="E40" s="321">
        <v>720</v>
      </c>
      <c r="F40" s="321"/>
      <c r="G40" s="321">
        <v>720</v>
      </c>
    </row>
    <row r="41" spans="2:7">
      <c r="B41" s="899" t="s">
        <v>592</v>
      </c>
      <c r="C41" s="900"/>
      <c r="D41" s="321">
        <v>155</v>
      </c>
      <c r="E41" s="321">
        <v>418</v>
      </c>
      <c r="F41" s="321"/>
      <c r="G41" s="321">
        <v>418</v>
      </c>
    </row>
    <row r="42" spans="2:7">
      <c r="B42" s="899" t="s">
        <v>593</v>
      </c>
      <c r="C42" s="900"/>
      <c r="D42" s="321">
        <v>151</v>
      </c>
      <c r="E42" s="321">
        <v>165</v>
      </c>
      <c r="F42" s="321"/>
      <c r="G42" s="321">
        <v>165</v>
      </c>
    </row>
    <row r="43" spans="2:7">
      <c r="B43" s="899" t="s">
        <v>594</v>
      </c>
      <c r="C43" s="900"/>
      <c r="D43" s="321">
        <v>35</v>
      </c>
      <c r="E43" s="321">
        <v>43</v>
      </c>
      <c r="F43" s="321"/>
      <c r="G43" s="322"/>
    </row>
    <row r="44" spans="2:7">
      <c r="B44" s="899" t="s">
        <v>595</v>
      </c>
      <c r="C44" s="900"/>
      <c r="D44" s="321"/>
      <c r="E44" s="321"/>
      <c r="F44" s="321"/>
      <c r="G44" s="322"/>
    </row>
    <row r="45" spans="2:7">
      <c r="B45" s="899" t="s">
        <v>596</v>
      </c>
      <c r="C45" s="900"/>
      <c r="D45" s="321">
        <v>77</v>
      </c>
      <c r="E45" s="321">
        <v>490</v>
      </c>
      <c r="F45" s="321"/>
      <c r="G45" s="322"/>
    </row>
    <row r="46" spans="2:7">
      <c r="B46" s="899" t="s">
        <v>632</v>
      </c>
      <c r="C46" s="900"/>
      <c r="D46" s="321">
        <v>77</v>
      </c>
      <c r="E46" s="321">
        <v>490</v>
      </c>
      <c r="F46" s="321"/>
      <c r="G46" s="322"/>
    </row>
    <row r="47" spans="2:7">
      <c r="B47" s="899" t="s">
        <v>631</v>
      </c>
      <c r="C47" s="900"/>
      <c r="D47" s="321">
        <v>77</v>
      </c>
      <c r="E47" s="321">
        <v>490</v>
      </c>
      <c r="F47" s="321"/>
      <c r="G47" s="322"/>
    </row>
    <row r="48" spans="2:7" ht="14.7" thickBot="1">
      <c r="B48" s="909" t="s">
        <v>589</v>
      </c>
      <c r="C48" s="910"/>
      <c r="D48" s="327">
        <f>SUM(D39:D46)</f>
        <v>4170</v>
      </c>
      <c r="E48" s="327">
        <f>SUM(E39:E46)</f>
        <v>7207</v>
      </c>
      <c r="F48" s="327">
        <f>SUM(F39:F46)</f>
        <v>0</v>
      </c>
      <c r="G48" s="341">
        <f>SUM(G39:G46)</f>
        <v>6184</v>
      </c>
    </row>
    <row r="49" spans="2:7" ht="15" thickTop="1" thickBot="1">
      <c r="B49" s="909" t="s">
        <v>597</v>
      </c>
      <c r="C49" s="915"/>
      <c r="D49" s="329">
        <f>SUM(D19,D25,D32,D37,D48)</f>
        <v>65035</v>
      </c>
      <c r="E49" s="329">
        <f>SUM(E19,E25,E32,E37,E48)</f>
        <v>107514</v>
      </c>
      <c r="F49" s="343">
        <f>SUM(F19,F25,F32,F37,F48)</f>
        <v>57919</v>
      </c>
      <c r="G49" s="342">
        <f>SUM(G19,G25,G32,G37,G48)</f>
        <v>14987</v>
      </c>
    </row>
    <row r="50" spans="2:7" ht="14.7" thickBot="1">
      <c r="B50" s="913" t="s">
        <v>598</v>
      </c>
      <c r="C50" s="914"/>
      <c r="D50" s="331"/>
      <c r="E50" s="331"/>
      <c r="F50" s="332"/>
      <c r="G50" s="333"/>
    </row>
    <row r="51" spans="2:7" ht="10.5" customHeight="1" thickTop="1">
      <c r="B51" s="334"/>
      <c r="C51" s="300"/>
      <c r="D51" s="300"/>
      <c r="E51" s="300"/>
      <c r="F51" s="300"/>
      <c r="G51" s="335"/>
    </row>
    <row r="52" spans="2:7" ht="14.7" thickBot="1">
      <c r="B52" s="336"/>
      <c r="C52" s="337"/>
      <c r="D52" s="337"/>
      <c r="E52" s="337"/>
      <c r="F52" s="337"/>
      <c r="G52" s="338"/>
    </row>
  </sheetData>
  <mergeCells count="45">
    <mergeCell ref="B50:C50"/>
    <mergeCell ref="B42:C42"/>
    <mergeCell ref="B43:C43"/>
    <mergeCell ref="B44:C44"/>
    <mergeCell ref="B46:C46"/>
    <mergeCell ref="B48:C48"/>
    <mergeCell ref="B49:C49"/>
    <mergeCell ref="B45:C45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2:G2"/>
    <mergeCell ref="B3:G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50"/>
  <sheetViews>
    <sheetView zoomScale="131" workbookViewId="0">
      <selection activeCell="D9" sqref="D9"/>
    </sheetView>
  </sheetViews>
  <sheetFormatPr defaultColWidth="8.8203125" defaultRowHeight="14.35"/>
  <cols>
    <col min="1" max="1" width="8.8203125" style="301"/>
    <col min="2" max="2" width="12.46875" style="301" customWidth="1"/>
    <col min="3" max="3" width="46.46875" style="301" customWidth="1"/>
    <col min="4" max="4" width="24.46875" style="301" customWidth="1"/>
    <col min="5" max="5" width="20.46875" style="301" customWidth="1"/>
    <col min="6" max="6" width="19.1171875" style="301" customWidth="1"/>
    <col min="7" max="7" width="16" style="301" customWidth="1"/>
    <col min="8" max="16384" width="8.8203125" style="301"/>
  </cols>
  <sheetData>
    <row r="1" spans="2:7" ht="14.7" thickBot="1"/>
    <row r="2" spans="2:7" ht="22.7">
      <c r="B2" s="901" t="s">
        <v>557</v>
      </c>
      <c r="C2" s="902"/>
      <c r="D2" s="902"/>
      <c r="E2" s="902"/>
      <c r="F2" s="902"/>
      <c r="G2" s="903"/>
    </row>
    <row r="3" spans="2:7" ht="18" thickBot="1">
      <c r="B3" s="904" t="s">
        <v>604</v>
      </c>
      <c r="C3" s="905"/>
      <c r="D3" s="905"/>
      <c r="E3" s="905"/>
      <c r="F3" s="905"/>
      <c r="G3" s="906"/>
    </row>
    <row r="4" spans="2:7" ht="16" thickBot="1">
      <c r="B4" s="302" t="s">
        <v>558</v>
      </c>
      <c r="C4" s="303"/>
      <c r="D4" s="303"/>
      <c r="E4" s="304"/>
      <c r="F4" s="304"/>
      <c r="G4" s="305"/>
    </row>
    <row r="5" spans="2:7" ht="14.7" thickBot="1">
      <c r="B5" s="306"/>
      <c r="C5" s="307"/>
      <c r="D5" s="308" t="s">
        <v>559</v>
      </c>
      <c r="E5" s="308" t="s">
        <v>560</v>
      </c>
      <c r="F5" s="308" t="s">
        <v>561</v>
      </c>
      <c r="G5" s="309" t="s">
        <v>562</v>
      </c>
    </row>
    <row r="6" spans="2:7">
      <c r="B6" s="310"/>
      <c r="C6" s="311"/>
      <c r="D6" s="311"/>
      <c r="E6" s="312"/>
      <c r="F6" s="312"/>
      <c r="G6" s="313"/>
    </row>
    <row r="7" spans="2:7">
      <c r="B7" s="314" t="s">
        <v>563</v>
      </c>
      <c r="C7" s="315"/>
      <c r="D7" s="315"/>
      <c r="E7" s="316"/>
      <c r="F7" s="316"/>
      <c r="G7" s="317"/>
    </row>
    <row r="8" spans="2:7">
      <c r="B8" s="907" t="s">
        <v>601</v>
      </c>
      <c r="C8" s="908"/>
      <c r="D8" s="318"/>
      <c r="E8" s="319"/>
      <c r="F8" s="319"/>
      <c r="G8" s="320"/>
    </row>
    <row r="9" spans="2:7">
      <c r="B9" s="899" t="s">
        <v>606</v>
      </c>
      <c r="C9" s="900"/>
      <c r="D9" s="321"/>
      <c r="E9" s="321">
        <v>1076</v>
      </c>
      <c r="F9" s="321"/>
      <c r="G9" s="322"/>
    </row>
    <row r="10" spans="2:7">
      <c r="B10" s="899" t="s">
        <v>605</v>
      </c>
      <c r="C10" s="900"/>
      <c r="D10" s="321"/>
      <c r="E10" s="321">
        <v>971</v>
      </c>
      <c r="F10" s="321"/>
      <c r="G10" s="322"/>
    </row>
    <row r="11" spans="2:7">
      <c r="B11" s="899" t="s">
        <v>607</v>
      </c>
      <c r="C11" s="900"/>
      <c r="D11" s="321">
        <v>9992</v>
      </c>
      <c r="E11" s="321">
        <v>12727</v>
      </c>
      <c r="F11" s="321"/>
      <c r="G11" s="322"/>
    </row>
    <row r="12" spans="2:7">
      <c r="B12" s="899" t="s">
        <v>608</v>
      </c>
      <c r="C12" s="900"/>
      <c r="D12" s="321">
        <v>4901</v>
      </c>
      <c r="E12" s="321">
        <v>15535</v>
      </c>
      <c r="F12" s="321"/>
      <c r="G12" s="322"/>
    </row>
    <row r="13" spans="2:7">
      <c r="B13" s="899" t="s">
        <v>568</v>
      </c>
      <c r="C13" s="900"/>
      <c r="D13" s="321"/>
      <c r="E13" s="321">
        <v>1323</v>
      </c>
      <c r="F13" s="321"/>
      <c r="G13" s="322"/>
    </row>
    <row r="14" spans="2:7">
      <c r="B14" s="899" t="s">
        <v>569</v>
      </c>
      <c r="C14" s="900"/>
      <c r="D14" s="321"/>
      <c r="E14" s="321">
        <v>450</v>
      </c>
      <c r="F14" s="321"/>
      <c r="G14" s="322"/>
    </row>
    <row r="15" spans="2:7">
      <c r="B15" s="899" t="s">
        <v>570</v>
      </c>
      <c r="C15" s="900"/>
      <c r="D15" s="321"/>
      <c r="E15" s="321">
        <v>374.75</v>
      </c>
      <c r="F15" s="321"/>
      <c r="G15" s="322"/>
    </row>
    <row r="16" spans="2:7">
      <c r="B16" s="899" t="s">
        <v>571</v>
      </c>
      <c r="C16" s="900"/>
      <c r="D16" s="321"/>
      <c r="E16" s="321">
        <v>2149</v>
      </c>
      <c r="F16" s="321"/>
      <c r="G16" s="322"/>
    </row>
    <row r="17" spans="2:7">
      <c r="B17" s="899" t="s">
        <v>572</v>
      </c>
      <c r="C17" s="900"/>
      <c r="D17" s="321">
        <v>350</v>
      </c>
      <c r="E17" s="321">
        <v>775</v>
      </c>
      <c r="F17" s="321"/>
      <c r="G17" s="322"/>
    </row>
    <row r="18" spans="2:7">
      <c r="B18" s="899" t="s">
        <v>573</v>
      </c>
      <c r="C18" s="900"/>
      <c r="D18" s="321"/>
      <c r="E18" s="321">
        <v>1206</v>
      </c>
      <c r="F18" s="321"/>
      <c r="G18" s="322"/>
    </row>
    <row r="19" spans="2:7">
      <c r="B19" s="909" t="s">
        <v>574</v>
      </c>
      <c r="C19" s="910"/>
      <c r="D19" s="323">
        <f>SUM(D9:D18)</f>
        <v>15243</v>
      </c>
      <c r="E19" s="323">
        <f t="shared" ref="E19:G19" si="0">SUM(E9:E18)</f>
        <v>36586.75</v>
      </c>
      <c r="F19" s="323">
        <f t="shared" si="0"/>
        <v>0</v>
      </c>
      <c r="G19" s="324">
        <f t="shared" si="0"/>
        <v>0</v>
      </c>
    </row>
    <row r="20" spans="2:7">
      <c r="B20" s="911" t="s">
        <v>602</v>
      </c>
      <c r="C20" s="912"/>
      <c r="D20" s="325"/>
      <c r="E20" s="325"/>
      <c r="F20" s="325"/>
      <c r="G20" s="326"/>
    </row>
    <row r="21" spans="2:7">
      <c r="B21" s="899" t="s">
        <v>609</v>
      </c>
      <c r="C21" s="900"/>
      <c r="D21" s="321"/>
      <c r="E21" s="321">
        <v>2647</v>
      </c>
      <c r="F21" s="321"/>
      <c r="G21" s="322"/>
    </row>
    <row r="22" spans="2:7">
      <c r="B22" s="899" t="s">
        <v>610</v>
      </c>
      <c r="C22" s="900"/>
      <c r="D22" s="321">
        <v>1510</v>
      </c>
      <c r="E22" s="321">
        <v>2000</v>
      </c>
      <c r="F22" s="321"/>
      <c r="G22" s="322"/>
    </row>
    <row r="23" spans="2:7">
      <c r="B23" s="899" t="s">
        <v>577</v>
      </c>
      <c r="C23" s="900"/>
      <c r="D23" s="321">
        <v>1388</v>
      </c>
      <c r="E23" s="321">
        <v>2796</v>
      </c>
      <c r="F23" s="321"/>
      <c r="G23" s="322"/>
    </row>
    <row r="24" spans="2:7">
      <c r="B24" s="899" t="s">
        <v>578</v>
      </c>
      <c r="C24" s="900"/>
      <c r="D24" s="321">
        <v>1899</v>
      </c>
      <c r="E24" s="321"/>
      <c r="F24" s="321"/>
      <c r="G24" s="322"/>
    </row>
    <row r="25" spans="2:7">
      <c r="B25" s="909" t="s">
        <v>579</v>
      </c>
      <c r="C25" s="910"/>
      <c r="D25" s="323">
        <f>SUM(D21:D24)</f>
        <v>4797</v>
      </c>
      <c r="E25" s="323">
        <f>SUM(E21:E24)</f>
        <v>7443</v>
      </c>
      <c r="F25" s="323">
        <f>SUM(F21:F24)</f>
        <v>0</v>
      </c>
      <c r="G25" s="324">
        <f>SUM(G21:G24)</f>
        <v>0</v>
      </c>
    </row>
    <row r="26" spans="2:7">
      <c r="B26" s="907" t="s">
        <v>603</v>
      </c>
      <c r="C26" s="908"/>
      <c r="D26" s="319"/>
      <c r="E26" s="319"/>
      <c r="F26" s="319"/>
      <c r="G26" s="320"/>
    </row>
    <row r="27" spans="2:7">
      <c r="B27" s="899" t="s">
        <v>580</v>
      </c>
      <c r="C27" s="900"/>
      <c r="D27" s="321">
        <v>237</v>
      </c>
      <c r="E27" s="321">
        <v>85</v>
      </c>
      <c r="F27" s="321"/>
      <c r="G27" s="322"/>
    </row>
    <row r="28" spans="2:7">
      <c r="B28" s="899" t="s">
        <v>581</v>
      </c>
      <c r="C28" s="900"/>
      <c r="D28" s="321"/>
      <c r="E28" s="321"/>
      <c r="F28" s="321"/>
      <c r="G28" s="322"/>
    </row>
    <row r="29" spans="2:7">
      <c r="B29" s="899" t="s">
        <v>582</v>
      </c>
      <c r="C29" s="900"/>
      <c r="D29" s="321"/>
      <c r="E29" s="321"/>
      <c r="F29" s="321"/>
      <c r="G29" s="322"/>
    </row>
    <row r="30" spans="2:7">
      <c r="B30" s="899" t="s">
        <v>583</v>
      </c>
      <c r="C30" s="900"/>
      <c r="D30" s="321"/>
      <c r="E30" s="321"/>
      <c r="F30" s="321"/>
      <c r="G30" s="322"/>
    </row>
    <row r="31" spans="2:7">
      <c r="B31" s="899" t="s">
        <v>584</v>
      </c>
      <c r="C31" s="900"/>
      <c r="D31" s="321">
        <v>2430</v>
      </c>
      <c r="E31" s="321">
        <v>1009</v>
      </c>
      <c r="F31" s="321"/>
      <c r="G31" s="322"/>
    </row>
    <row r="32" spans="2:7">
      <c r="B32" s="909" t="s">
        <v>585</v>
      </c>
      <c r="C32" s="910"/>
      <c r="D32" s="323">
        <f>SUM(D27:D31)</f>
        <v>2667</v>
      </c>
      <c r="E32" s="323">
        <f t="shared" ref="E32:G32" si="1">SUM(E27:E31)</f>
        <v>1094</v>
      </c>
      <c r="F32" s="323">
        <f t="shared" si="1"/>
        <v>0</v>
      </c>
      <c r="G32" s="324">
        <f t="shared" si="1"/>
        <v>0</v>
      </c>
    </row>
    <row r="33" spans="2:7">
      <c r="B33" s="907" t="s">
        <v>600</v>
      </c>
      <c r="C33" s="908"/>
      <c r="D33" s="319"/>
      <c r="E33" s="319"/>
      <c r="F33" s="319"/>
      <c r="G33" s="320"/>
    </row>
    <row r="34" spans="2:7">
      <c r="B34" s="899" t="s">
        <v>586</v>
      </c>
      <c r="C34" s="900"/>
      <c r="D34" s="321"/>
      <c r="E34" s="321"/>
      <c r="F34" s="321"/>
      <c r="G34" s="322"/>
    </row>
    <row r="35" spans="2:7">
      <c r="B35" s="899" t="s">
        <v>587</v>
      </c>
      <c r="C35" s="900"/>
      <c r="D35" s="321"/>
      <c r="E35" s="321"/>
      <c r="F35" s="321"/>
      <c r="G35" s="322"/>
    </row>
    <row r="36" spans="2:7">
      <c r="B36" s="899" t="s">
        <v>588</v>
      </c>
      <c r="C36" s="900"/>
      <c r="D36" s="321"/>
      <c r="E36" s="321"/>
      <c r="F36" s="321"/>
      <c r="G36" s="322"/>
    </row>
    <row r="37" spans="2:7">
      <c r="B37" s="909" t="s">
        <v>589</v>
      </c>
      <c r="C37" s="910"/>
      <c r="D37" s="323">
        <f>SUM(D34:D36)</f>
        <v>0</v>
      </c>
      <c r="E37" s="323">
        <f t="shared" ref="E37:G37" si="2">SUM(E34:E36)</f>
        <v>0</v>
      </c>
      <c r="F37" s="323">
        <f t="shared" si="2"/>
        <v>0</v>
      </c>
      <c r="G37" s="324">
        <f t="shared" si="2"/>
        <v>0</v>
      </c>
    </row>
    <row r="38" spans="2:7">
      <c r="B38" s="911" t="s">
        <v>599</v>
      </c>
      <c r="C38" s="912"/>
      <c r="D38" s="325"/>
      <c r="E38" s="325"/>
      <c r="F38" s="325"/>
      <c r="G38" s="326"/>
    </row>
    <row r="39" spans="2:7">
      <c r="B39" s="899" t="s">
        <v>590</v>
      </c>
      <c r="C39" s="900"/>
      <c r="D39" s="321">
        <v>3111</v>
      </c>
      <c r="E39" s="321"/>
      <c r="F39" s="321"/>
      <c r="G39" s="322"/>
    </row>
    <row r="40" spans="2:7">
      <c r="B40" s="899" t="s">
        <v>591</v>
      </c>
      <c r="C40" s="900"/>
      <c r="D40" s="321">
        <v>564</v>
      </c>
      <c r="E40" s="321"/>
      <c r="F40" s="321"/>
      <c r="G40" s="322"/>
    </row>
    <row r="41" spans="2:7">
      <c r="B41" s="899" t="s">
        <v>592</v>
      </c>
      <c r="C41" s="900"/>
      <c r="D41" s="321">
        <v>155</v>
      </c>
      <c r="E41" s="321"/>
      <c r="F41" s="321"/>
      <c r="G41" s="322"/>
    </row>
    <row r="42" spans="2:7">
      <c r="B42" s="899" t="s">
        <v>593</v>
      </c>
      <c r="C42" s="900"/>
      <c r="D42" s="321">
        <v>151</v>
      </c>
      <c r="E42" s="321"/>
      <c r="F42" s="321"/>
      <c r="G42" s="322"/>
    </row>
    <row r="43" spans="2:7">
      <c r="B43" s="899" t="s">
        <v>594</v>
      </c>
      <c r="C43" s="900"/>
      <c r="D43" s="321">
        <v>35</v>
      </c>
      <c r="E43" s="321"/>
      <c r="F43" s="321"/>
      <c r="G43" s="322"/>
    </row>
    <row r="44" spans="2:7">
      <c r="B44" s="899" t="s">
        <v>595</v>
      </c>
      <c r="C44" s="900"/>
      <c r="D44" s="321"/>
      <c r="E44" s="321"/>
      <c r="F44" s="321"/>
      <c r="G44" s="322"/>
    </row>
    <row r="45" spans="2:7">
      <c r="B45" s="899" t="s">
        <v>596</v>
      </c>
      <c r="C45" s="900"/>
      <c r="D45" s="321">
        <v>77</v>
      </c>
      <c r="E45" s="321"/>
      <c r="F45" s="321"/>
      <c r="G45" s="322"/>
    </row>
    <row r="46" spans="2:7" ht="14.7" thickBot="1">
      <c r="B46" s="909" t="s">
        <v>589</v>
      </c>
      <c r="C46" s="910"/>
      <c r="D46" s="327">
        <f>SUM(D39:D45)</f>
        <v>4093</v>
      </c>
      <c r="E46" s="327">
        <f>SUM(E39:E45)</f>
        <v>0</v>
      </c>
      <c r="F46" s="327">
        <f>SUM(F39:F45)</f>
        <v>0</v>
      </c>
      <c r="G46" s="328">
        <f>SUM(G39:G45)</f>
        <v>0</v>
      </c>
    </row>
    <row r="47" spans="2:7" ht="15" thickTop="1" thickBot="1">
      <c r="B47" s="909" t="s">
        <v>597</v>
      </c>
      <c r="C47" s="915"/>
      <c r="D47" s="329">
        <f>SUM(D19,D25,D32,D37,D46)</f>
        <v>26800</v>
      </c>
      <c r="E47" s="329">
        <f>SUM(E19,E25,E32,E37,E46)</f>
        <v>45123.75</v>
      </c>
      <c r="F47" s="329">
        <f>SUM(F19,F25,F32,F37,F46)</f>
        <v>0</v>
      </c>
      <c r="G47" s="330">
        <f>SUM(G19,G25,G32,G37,G46)</f>
        <v>0</v>
      </c>
    </row>
    <row r="48" spans="2:7" ht="14.7" thickBot="1">
      <c r="B48" s="913" t="s">
        <v>598</v>
      </c>
      <c r="C48" s="914"/>
      <c r="D48" s="331"/>
      <c r="E48" s="331"/>
      <c r="F48" s="332"/>
      <c r="G48" s="333"/>
    </row>
    <row r="49" spans="2:7" ht="10.5" customHeight="1" thickTop="1">
      <c r="B49" s="334"/>
      <c r="C49" s="300"/>
      <c r="D49" s="300"/>
      <c r="E49" s="300"/>
      <c r="F49" s="300"/>
      <c r="G49" s="335"/>
    </row>
    <row r="50" spans="2:7" ht="14.7" thickBot="1">
      <c r="B50" s="336"/>
      <c r="C50" s="337"/>
      <c r="D50" s="337"/>
      <c r="E50" s="337"/>
      <c r="F50" s="337"/>
      <c r="G50" s="338"/>
    </row>
  </sheetData>
  <mergeCells count="43">
    <mergeCell ref="B48:C48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2:G2"/>
    <mergeCell ref="B3:G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50"/>
  <sheetViews>
    <sheetView zoomScale="125" workbookViewId="0">
      <selection activeCell="B13" sqref="B13:C13"/>
    </sheetView>
  </sheetViews>
  <sheetFormatPr defaultColWidth="8.8203125" defaultRowHeight="14.35"/>
  <cols>
    <col min="1" max="1" width="8.8203125" style="301"/>
    <col min="2" max="2" width="12.46875" style="301" customWidth="1"/>
    <col min="3" max="3" width="46.46875" style="301" customWidth="1"/>
    <col min="4" max="4" width="24.46875" style="301" customWidth="1"/>
    <col min="5" max="5" width="20.46875" style="301" customWidth="1"/>
    <col min="6" max="6" width="19.1171875" style="301" customWidth="1"/>
    <col min="7" max="7" width="16" style="301" customWidth="1"/>
    <col min="8" max="16384" width="8.8203125" style="301"/>
  </cols>
  <sheetData>
    <row r="1" spans="2:7" ht="14.7" thickBot="1"/>
    <row r="2" spans="2:7" ht="22.7">
      <c r="B2" s="901" t="s">
        <v>612</v>
      </c>
      <c r="C2" s="902"/>
      <c r="D2" s="902"/>
      <c r="E2" s="902"/>
      <c r="F2" s="902"/>
      <c r="G2" s="903"/>
    </row>
    <row r="3" spans="2:7" ht="18" thickBot="1">
      <c r="B3" s="904" t="s">
        <v>613</v>
      </c>
      <c r="C3" s="905"/>
      <c r="D3" s="905"/>
      <c r="E3" s="905"/>
      <c r="F3" s="905"/>
      <c r="G3" s="906"/>
    </row>
    <row r="4" spans="2:7" ht="16" thickBot="1">
      <c r="B4" s="302" t="s">
        <v>558</v>
      </c>
      <c r="C4" s="303"/>
      <c r="D4" s="303"/>
      <c r="E4" s="304"/>
      <c r="F4" s="304"/>
      <c r="G4" s="305"/>
    </row>
    <row r="5" spans="2:7" ht="14.7" thickBot="1">
      <c r="B5" s="306"/>
      <c r="C5" s="307"/>
      <c r="D5" s="308" t="s">
        <v>559</v>
      </c>
      <c r="E5" s="308" t="s">
        <v>560</v>
      </c>
      <c r="F5" s="308" t="s">
        <v>561</v>
      </c>
      <c r="G5" s="309" t="s">
        <v>562</v>
      </c>
    </row>
    <row r="6" spans="2:7">
      <c r="B6" s="310"/>
      <c r="C6" s="311"/>
      <c r="D6" s="311"/>
      <c r="E6" s="312"/>
      <c r="F6" s="312"/>
      <c r="G6" s="313"/>
    </row>
    <row r="7" spans="2:7">
      <c r="B7" s="314" t="s">
        <v>563</v>
      </c>
      <c r="C7" s="315"/>
      <c r="D7" s="315"/>
      <c r="E7" s="316"/>
      <c r="F7" s="316"/>
      <c r="G7" s="317"/>
    </row>
    <row r="8" spans="2:7">
      <c r="B8" s="907" t="s">
        <v>614</v>
      </c>
      <c r="C8" s="908"/>
      <c r="D8" s="318"/>
      <c r="E8" s="319"/>
      <c r="F8" s="319"/>
      <c r="G8" s="320"/>
    </row>
    <row r="9" spans="2:7">
      <c r="B9" s="899" t="s">
        <v>615</v>
      </c>
      <c r="C9" s="900"/>
      <c r="D9" s="321"/>
      <c r="E9" s="321">
        <v>1076</v>
      </c>
      <c r="F9" s="321"/>
      <c r="G9" s="322"/>
    </row>
    <row r="10" spans="2:7">
      <c r="B10" s="899" t="s">
        <v>616</v>
      </c>
      <c r="C10" s="900"/>
      <c r="D10" s="321"/>
      <c r="E10" s="321">
        <v>971</v>
      </c>
      <c r="F10" s="321"/>
      <c r="G10" s="322"/>
    </row>
    <row r="11" spans="2:7">
      <c r="B11" s="899" t="s">
        <v>618</v>
      </c>
      <c r="C11" s="900"/>
      <c r="D11" s="321">
        <v>9992</v>
      </c>
      <c r="E11" s="321">
        <v>12727</v>
      </c>
      <c r="F11" s="321"/>
      <c r="G11" s="322"/>
    </row>
    <row r="12" spans="2:7">
      <c r="B12" s="899" t="s">
        <v>617</v>
      </c>
      <c r="C12" s="900"/>
      <c r="D12" s="321">
        <v>4901</v>
      </c>
      <c r="E12" s="321">
        <v>15535</v>
      </c>
      <c r="F12" s="321"/>
      <c r="G12" s="322"/>
    </row>
    <row r="13" spans="2:7">
      <c r="B13" s="899" t="s">
        <v>619</v>
      </c>
      <c r="C13" s="900"/>
      <c r="D13" s="321"/>
      <c r="E13" s="321">
        <v>1323</v>
      </c>
      <c r="F13" s="321"/>
      <c r="G13" s="322"/>
    </row>
    <row r="14" spans="2:7">
      <c r="B14" s="899"/>
      <c r="C14" s="900"/>
      <c r="D14" s="321"/>
      <c r="E14" s="321">
        <v>450</v>
      </c>
      <c r="F14" s="321"/>
      <c r="G14" s="322"/>
    </row>
    <row r="15" spans="2:7">
      <c r="B15" s="899"/>
      <c r="C15" s="900"/>
      <c r="D15" s="321"/>
      <c r="E15" s="321">
        <v>374.75</v>
      </c>
      <c r="F15" s="321"/>
      <c r="G15" s="322"/>
    </row>
    <row r="16" spans="2:7">
      <c r="B16" s="899"/>
      <c r="C16" s="900"/>
      <c r="D16" s="321"/>
      <c r="E16" s="321">
        <v>2149</v>
      </c>
      <c r="F16" s="321"/>
      <c r="G16" s="322"/>
    </row>
    <row r="17" spans="2:7">
      <c r="B17" s="899"/>
      <c r="C17" s="900"/>
      <c r="D17" s="321">
        <v>350</v>
      </c>
      <c r="E17" s="321">
        <v>775</v>
      </c>
      <c r="F17" s="321"/>
      <c r="G17" s="322"/>
    </row>
    <row r="18" spans="2:7">
      <c r="B18" s="899"/>
      <c r="C18" s="900"/>
      <c r="D18" s="321"/>
      <c r="E18" s="321">
        <v>1206</v>
      </c>
      <c r="F18" s="321"/>
      <c r="G18" s="322"/>
    </row>
    <row r="19" spans="2:7">
      <c r="B19" s="909" t="s">
        <v>574</v>
      </c>
      <c r="C19" s="910"/>
      <c r="D19" s="323">
        <f>SUM(D9:D18)</f>
        <v>15243</v>
      </c>
      <c r="E19" s="323">
        <f t="shared" ref="E19:G19" si="0">SUM(E9:E18)</f>
        <v>36586.75</v>
      </c>
      <c r="F19" s="323">
        <f t="shared" si="0"/>
        <v>0</v>
      </c>
      <c r="G19" s="324">
        <f t="shared" si="0"/>
        <v>0</v>
      </c>
    </row>
    <row r="20" spans="2:7">
      <c r="B20" s="911" t="s">
        <v>602</v>
      </c>
      <c r="C20" s="912"/>
      <c r="D20" s="325"/>
      <c r="E20" s="325"/>
      <c r="F20" s="325"/>
      <c r="G20" s="326"/>
    </row>
    <row r="21" spans="2:7">
      <c r="B21" s="899" t="s">
        <v>609</v>
      </c>
      <c r="C21" s="900"/>
      <c r="D21" s="321"/>
      <c r="E21" s="321">
        <v>2647</v>
      </c>
      <c r="F21" s="321"/>
      <c r="G21" s="322"/>
    </row>
    <row r="22" spans="2:7">
      <c r="B22" s="899" t="s">
        <v>610</v>
      </c>
      <c r="C22" s="900"/>
      <c r="D22" s="321">
        <v>1510</v>
      </c>
      <c r="E22" s="321">
        <v>2000</v>
      </c>
      <c r="F22" s="321"/>
      <c r="G22" s="322"/>
    </row>
    <row r="23" spans="2:7">
      <c r="B23" s="899" t="s">
        <v>577</v>
      </c>
      <c r="C23" s="900"/>
      <c r="D23" s="321">
        <v>1388</v>
      </c>
      <c r="E23" s="321">
        <v>2796</v>
      </c>
      <c r="F23" s="321"/>
      <c r="G23" s="322"/>
    </row>
    <row r="24" spans="2:7">
      <c r="B24" s="899" t="s">
        <v>578</v>
      </c>
      <c r="C24" s="900"/>
      <c r="D24" s="321">
        <v>1899</v>
      </c>
      <c r="E24" s="321"/>
      <c r="F24" s="321"/>
      <c r="G24" s="322"/>
    </row>
    <row r="25" spans="2:7">
      <c r="B25" s="909" t="s">
        <v>579</v>
      </c>
      <c r="C25" s="910"/>
      <c r="D25" s="323">
        <f>SUM(D21:D24)</f>
        <v>4797</v>
      </c>
      <c r="E25" s="323">
        <f>SUM(E21:E24)</f>
        <v>7443</v>
      </c>
      <c r="F25" s="323">
        <f>SUM(F21:F24)</f>
        <v>0</v>
      </c>
      <c r="G25" s="324">
        <f>SUM(G21:G24)</f>
        <v>0</v>
      </c>
    </row>
    <row r="26" spans="2:7">
      <c r="B26" s="907" t="s">
        <v>603</v>
      </c>
      <c r="C26" s="908"/>
      <c r="D26" s="319"/>
      <c r="E26" s="319"/>
      <c r="F26" s="319"/>
      <c r="G26" s="320"/>
    </row>
    <row r="27" spans="2:7">
      <c r="B27" s="899" t="s">
        <v>580</v>
      </c>
      <c r="C27" s="900"/>
      <c r="D27" s="321">
        <v>237</v>
      </c>
      <c r="E27" s="321">
        <v>85</v>
      </c>
      <c r="F27" s="321"/>
      <c r="G27" s="322"/>
    </row>
    <row r="28" spans="2:7">
      <c r="B28" s="899" t="s">
        <v>581</v>
      </c>
      <c r="C28" s="900"/>
      <c r="D28" s="321"/>
      <c r="E28" s="321"/>
      <c r="F28" s="321"/>
      <c r="G28" s="322"/>
    </row>
    <row r="29" spans="2:7">
      <c r="B29" s="899" t="s">
        <v>582</v>
      </c>
      <c r="C29" s="900"/>
      <c r="D29" s="321"/>
      <c r="E29" s="321"/>
      <c r="F29" s="321"/>
      <c r="G29" s="322"/>
    </row>
    <row r="30" spans="2:7">
      <c r="B30" s="899" t="s">
        <v>583</v>
      </c>
      <c r="C30" s="900"/>
      <c r="D30" s="321"/>
      <c r="E30" s="321"/>
      <c r="F30" s="321"/>
      <c r="G30" s="322"/>
    </row>
    <row r="31" spans="2:7">
      <c r="B31" s="899" t="s">
        <v>584</v>
      </c>
      <c r="C31" s="900"/>
      <c r="D31" s="321">
        <v>2430</v>
      </c>
      <c r="E31" s="321">
        <v>1009</v>
      </c>
      <c r="F31" s="321"/>
      <c r="G31" s="322"/>
    </row>
    <row r="32" spans="2:7">
      <c r="B32" s="909" t="s">
        <v>585</v>
      </c>
      <c r="C32" s="910"/>
      <c r="D32" s="323">
        <f>SUM(D27:D31)</f>
        <v>2667</v>
      </c>
      <c r="E32" s="323">
        <f t="shared" ref="E32:G32" si="1">SUM(E27:E31)</f>
        <v>1094</v>
      </c>
      <c r="F32" s="323">
        <f t="shared" si="1"/>
        <v>0</v>
      </c>
      <c r="G32" s="324">
        <f t="shared" si="1"/>
        <v>0</v>
      </c>
    </row>
    <row r="33" spans="2:7">
      <c r="B33" s="907" t="s">
        <v>600</v>
      </c>
      <c r="C33" s="908"/>
      <c r="D33" s="319"/>
      <c r="E33" s="319"/>
      <c r="F33" s="319"/>
      <c r="G33" s="320"/>
    </row>
    <row r="34" spans="2:7">
      <c r="B34" s="899" t="s">
        <v>586</v>
      </c>
      <c r="C34" s="900"/>
      <c r="D34" s="321"/>
      <c r="E34" s="321"/>
      <c r="F34" s="321"/>
      <c r="G34" s="322"/>
    </row>
    <row r="35" spans="2:7">
      <c r="B35" s="899" t="s">
        <v>587</v>
      </c>
      <c r="C35" s="900"/>
      <c r="D35" s="321"/>
      <c r="E35" s="321"/>
      <c r="F35" s="321"/>
      <c r="G35" s="322"/>
    </row>
    <row r="36" spans="2:7">
      <c r="B36" s="899" t="s">
        <v>588</v>
      </c>
      <c r="C36" s="900"/>
      <c r="D36" s="321"/>
      <c r="E36" s="321"/>
      <c r="F36" s="321"/>
      <c r="G36" s="322"/>
    </row>
    <row r="37" spans="2:7">
      <c r="B37" s="909" t="s">
        <v>589</v>
      </c>
      <c r="C37" s="910"/>
      <c r="D37" s="323">
        <f>SUM(D34:D36)</f>
        <v>0</v>
      </c>
      <c r="E37" s="323">
        <f t="shared" ref="E37:G37" si="2">SUM(E34:E36)</f>
        <v>0</v>
      </c>
      <c r="F37" s="323">
        <f t="shared" si="2"/>
        <v>0</v>
      </c>
      <c r="G37" s="324">
        <f t="shared" si="2"/>
        <v>0</v>
      </c>
    </row>
    <row r="38" spans="2:7">
      <c r="B38" s="911" t="s">
        <v>599</v>
      </c>
      <c r="C38" s="912"/>
      <c r="D38" s="325"/>
      <c r="E38" s="325"/>
      <c r="F38" s="325"/>
      <c r="G38" s="326"/>
    </row>
    <row r="39" spans="2:7">
      <c r="B39" s="899" t="s">
        <v>590</v>
      </c>
      <c r="C39" s="900"/>
      <c r="D39" s="321">
        <v>3111</v>
      </c>
      <c r="E39" s="321"/>
      <c r="F39" s="321"/>
      <c r="G39" s="322"/>
    </row>
    <row r="40" spans="2:7">
      <c r="B40" s="899" t="s">
        <v>591</v>
      </c>
      <c r="C40" s="900"/>
      <c r="D40" s="321">
        <v>564</v>
      </c>
      <c r="E40" s="321"/>
      <c r="F40" s="321"/>
      <c r="G40" s="322"/>
    </row>
    <row r="41" spans="2:7">
      <c r="B41" s="899" t="s">
        <v>592</v>
      </c>
      <c r="C41" s="900"/>
      <c r="D41" s="321">
        <v>155</v>
      </c>
      <c r="E41" s="321"/>
      <c r="F41" s="321"/>
      <c r="G41" s="322"/>
    </row>
    <row r="42" spans="2:7">
      <c r="B42" s="899" t="s">
        <v>593</v>
      </c>
      <c r="C42" s="900"/>
      <c r="D42" s="321">
        <v>151</v>
      </c>
      <c r="E42" s="321"/>
      <c r="F42" s="321"/>
      <c r="G42" s="322"/>
    </row>
    <row r="43" spans="2:7">
      <c r="B43" s="899" t="s">
        <v>594</v>
      </c>
      <c r="C43" s="900"/>
      <c r="D43" s="321">
        <v>35</v>
      </c>
      <c r="E43" s="321"/>
      <c r="F43" s="321"/>
      <c r="G43" s="322"/>
    </row>
    <row r="44" spans="2:7">
      <c r="B44" s="899" t="s">
        <v>595</v>
      </c>
      <c r="C44" s="900"/>
      <c r="D44" s="321"/>
      <c r="E44" s="321"/>
      <c r="F44" s="321"/>
      <c r="G44" s="322"/>
    </row>
    <row r="45" spans="2:7">
      <c r="B45" s="899" t="s">
        <v>596</v>
      </c>
      <c r="C45" s="900"/>
      <c r="D45" s="321">
        <v>77</v>
      </c>
      <c r="E45" s="321"/>
      <c r="F45" s="321"/>
      <c r="G45" s="322"/>
    </row>
    <row r="46" spans="2:7" ht="14.7" thickBot="1">
      <c r="B46" s="909" t="s">
        <v>589</v>
      </c>
      <c r="C46" s="910"/>
      <c r="D46" s="327">
        <f>SUM(D39:D45)</f>
        <v>4093</v>
      </c>
      <c r="E46" s="327">
        <f>SUM(E39:E45)</f>
        <v>0</v>
      </c>
      <c r="F46" s="327">
        <f>SUM(F39:F45)</f>
        <v>0</v>
      </c>
      <c r="G46" s="328">
        <f>SUM(G39:G45)</f>
        <v>0</v>
      </c>
    </row>
    <row r="47" spans="2:7" ht="15" thickTop="1" thickBot="1">
      <c r="B47" s="909" t="s">
        <v>597</v>
      </c>
      <c r="C47" s="915"/>
      <c r="D47" s="329">
        <f>SUM(D19,D25,D32,D37,D46)</f>
        <v>26800</v>
      </c>
      <c r="E47" s="329">
        <f>SUM(E19,E25,E32,E37,E46)</f>
        <v>45123.75</v>
      </c>
      <c r="F47" s="329">
        <f>SUM(F19,F25,F32,F37,F46)</f>
        <v>0</v>
      </c>
      <c r="G47" s="330">
        <f>SUM(G19,G25,G32,G37,G46)</f>
        <v>0</v>
      </c>
    </row>
    <row r="48" spans="2:7" ht="14.7" thickBot="1">
      <c r="B48" s="913" t="s">
        <v>598</v>
      </c>
      <c r="C48" s="914"/>
      <c r="D48" s="331"/>
      <c r="E48" s="331"/>
      <c r="F48" s="332"/>
      <c r="G48" s="333"/>
    </row>
    <row r="49" spans="2:7" ht="10.5" customHeight="1" thickTop="1">
      <c r="B49" s="334"/>
      <c r="C49" s="300"/>
      <c r="D49" s="300"/>
      <c r="E49" s="300"/>
      <c r="F49" s="300"/>
      <c r="G49" s="335"/>
    </row>
    <row r="50" spans="2:7" ht="14.7" thickBot="1">
      <c r="B50" s="336"/>
      <c r="C50" s="337"/>
      <c r="D50" s="337"/>
      <c r="E50" s="337"/>
      <c r="F50" s="337"/>
      <c r="G50" s="338"/>
    </row>
  </sheetData>
  <mergeCells count="43">
    <mergeCell ref="B48:C48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2:G2"/>
    <mergeCell ref="B3:G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F56"/>
  <sheetViews>
    <sheetView topLeftCell="A49" workbookViewId="0">
      <selection activeCell="G66" sqref="G66"/>
    </sheetView>
  </sheetViews>
  <sheetFormatPr defaultColWidth="11.46875" defaultRowHeight="15.7"/>
  <cols>
    <col min="1" max="1" width="10.8203125" style="344"/>
    <col min="6" max="6" width="12.64453125" bestFit="1" customWidth="1"/>
  </cols>
  <sheetData>
    <row r="1" spans="1:6" s="344" customFormat="1">
      <c r="C1" s="344" t="s">
        <v>639</v>
      </c>
      <c r="D1" s="344" t="s">
        <v>640</v>
      </c>
      <c r="E1" s="344" t="s">
        <v>641</v>
      </c>
      <c r="F1" s="344" t="s">
        <v>642</v>
      </c>
    </row>
    <row r="2" spans="1:6" s="344" customFormat="1">
      <c r="A2" s="344" t="s">
        <v>510</v>
      </c>
    </row>
    <row r="3" spans="1:6">
      <c r="B3" t="s">
        <v>643</v>
      </c>
      <c r="C3">
        <f>3*6.5</f>
        <v>19.5</v>
      </c>
      <c r="D3" s="224">
        <f>C3*55</f>
        <v>1072.5</v>
      </c>
      <c r="F3" s="224">
        <f>D3</f>
        <v>1072.5</v>
      </c>
    </row>
    <row r="4" spans="1:6">
      <c r="A4" s="344" t="s">
        <v>511</v>
      </c>
      <c r="D4" s="224"/>
      <c r="F4" s="224"/>
    </row>
    <row r="5" spans="1:6">
      <c r="B5" t="s">
        <v>644</v>
      </c>
      <c r="C5">
        <v>35</v>
      </c>
      <c r="D5" s="224">
        <f>C5*55</f>
        <v>1925</v>
      </c>
      <c r="F5" s="224">
        <f>D5</f>
        <v>1925</v>
      </c>
    </row>
    <row r="6" spans="1:6">
      <c r="B6" t="s">
        <v>645</v>
      </c>
      <c r="C6">
        <f>4*9.5+1*6.5</f>
        <v>44.5</v>
      </c>
      <c r="D6" s="224">
        <f>40*55</f>
        <v>2200</v>
      </c>
      <c r="E6">
        <f>C6-40</f>
        <v>4.5</v>
      </c>
      <c r="F6" s="224">
        <f>D6+(E6*(1.5*55))</f>
        <v>2571.25</v>
      </c>
    </row>
    <row r="7" spans="1:6">
      <c r="B7" t="s">
        <v>646</v>
      </c>
      <c r="C7">
        <f t="shared" ref="C7:C11" si="0">4*9.5+1*6.5</f>
        <v>44.5</v>
      </c>
      <c r="D7" s="224">
        <f t="shared" ref="D7:D11" si="1">40*55</f>
        <v>2200</v>
      </c>
      <c r="E7">
        <f t="shared" ref="E7:E11" si="2">C7-40</f>
        <v>4.5</v>
      </c>
      <c r="F7" s="224">
        <f t="shared" ref="F7:F11" si="3">D7+(E7*(1.5*55))</f>
        <v>2571.25</v>
      </c>
    </row>
    <row r="8" spans="1:6">
      <c r="B8" t="s">
        <v>647</v>
      </c>
      <c r="C8">
        <f t="shared" si="0"/>
        <v>44.5</v>
      </c>
      <c r="D8" s="224">
        <f t="shared" si="1"/>
        <v>2200</v>
      </c>
      <c r="E8">
        <f t="shared" si="2"/>
        <v>4.5</v>
      </c>
      <c r="F8" s="224">
        <f t="shared" si="3"/>
        <v>2571.25</v>
      </c>
    </row>
    <row r="9" spans="1:6">
      <c r="B9" t="s">
        <v>648</v>
      </c>
      <c r="C9">
        <f t="shared" si="0"/>
        <v>44.5</v>
      </c>
      <c r="D9" s="224">
        <f t="shared" si="1"/>
        <v>2200</v>
      </c>
      <c r="E9">
        <f t="shared" si="2"/>
        <v>4.5</v>
      </c>
      <c r="F9" s="224">
        <f t="shared" si="3"/>
        <v>2571.25</v>
      </c>
    </row>
    <row r="10" spans="1:6">
      <c r="A10" s="344" t="s">
        <v>512</v>
      </c>
      <c r="D10" s="224"/>
      <c r="F10" s="224"/>
    </row>
    <row r="11" spans="1:6">
      <c r="B11" t="s">
        <v>649</v>
      </c>
      <c r="C11">
        <f t="shared" si="0"/>
        <v>44.5</v>
      </c>
      <c r="D11" s="224">
        <f t="shared" si="1"/>
        <v>2200</v>
      </c>
      <c r="E11">
        <f t="shared" si="2"/>
        <v>4.5</v>
      </c>
      <c r="F11" s="224">
        <f t="shared" si="3"/>
        <v>2571.25</v>
      </c>
    </row>
    <row r="12" spans="1:6">
      <c r="B12" t="s">
        <v>650</v>
      </c>
      <c r="C12">
        <f>3*9.5+1*6.5</f>
        <v>35</v>
      </c>
      <c r="D12" s="224">
        <f>C12*55</f>
        <v>1925</v>
      </c>
      <c r="F12" s="224">
        <f>D12</f>
        <v>1925</v>
      </c>
    </row>
    <row r="13" spans="1:6">
      <c r="B13" t="s">
        <v>651</v>
      </c>
      <c r="C13">
        <f>4*9.5+1*6.5</f>
        <v>44.5</v>
      </c>
      <c r="D13" s="224">
        <f>40*55</f>
        <v>2200</v>
      </c>
      <c r="E13">
        <f>C13-40</f>
        <v>4.5</v>
      </c>
      <c r="F13" s="224">
        <f>D13+(E13*(1.5*55))</f>
        <v>2571.25</v>
      </c>
    </row>
    <row r="14" spans="1:6">
      <c r="B14" t="s">
        <v>652</v>
      </c>
      <c r="C14">
        <f t="shared" ref="C14:C17" si="4">4*9.5+1*6.5</f>
        <v>44.5</v>
      </c>
      <c r="D14" s="224">
        <f t="shared" ref="D14:D17" si="5">40*55</f>
        <v>2200</v>
      </c>
      <c r="E14">
        <f t="shared" ref="E14:E17" si="6">C14-40</f>
        <v>4.5</v>
      </c>
      <c r="F14" s="224">
        <f t="shared" ref="F14:F17" si="7">D14+(E14*(1.5*55))</f>
        <v>2571.25</v>
      </c>
    </row>
    <row r="15" spans="1:6">
      <c r="A15" s="344" t="s">
        <v>513</v>
      </c>
      <c r="D15" s="224"/>
      <c r="F15" s="224"/>
    </row>
    <row r="16" spans="1:6">
      <c r="B16" t="s">
        <v>653</v>
      </c>
      <c r="C16">
        <f t="shared" si="4"/>
        <v>44.5</v>
      </c>
      <c r="D16" s="224">
        <f t="shared" si="5"/>
        <v>2200</v>
      </c>
      <c r="E16">
        <f t="shared" si="6"/>
        <v>4.5</v>
      </c>
      <c r="F16" s="224">
        <f t="shared" si="7"/>
        <v>2571.25</v>
      </c>
    </row>
    <row r="17" spans="1:6">
      <c r="B17" t="s">
        <v>654</v>
      </c>
      <c r="C17">
        <f t="shared" si="4"/>
        <v>44.5</v>
      </c>
      <c r="D17" s="224">
        <f t="shared" si="5"/>
        <v>2200</v>
      </c>
      <c r="E17">
        <f t="shared" si="6"/>
        <v>4.5</v>
      </c>
      <c r="F17" s="224">
        <f t="shared" si="7"/>
        <v>2571.25</v>
      </c>
    </row>
    <row r="18" spans="1:6">
      <c r="B18" t="s">
        <v>655</v>
      </c>
      <c r="C18">
        <f>2*6.5</f>
        <v>13</v>
      </c>
      <c r="D18" s="224">
        <f>C18*55</f>
        <v>715</v>
      </c>
      <c r="F18" s="224">
        <f>D18</f>
        <v>715</v>
      </c>
    </row>
    <row r="19" spans="1:6">
      <c r="B19" t="s">
        <v>656</v>
      </c>
      <c r="C19">
        <f>4*9.5+1*6.5</f>
        <v>44.5</v>
      </c>
      <c r="D19" s="224">
        <f>40*55</f>
        <v>2200</v>
      </c>
      <c r="E19">
        <f>C19-40</f>
        <v>4.5</v>
      </c>
      <c r="F19" s="224">
        <f>D19+(E19*(1.5*55))</f>
        <v>2571.25</v>
      </c>
    </row>
    <row r="20" spans="1:6">
      <c r="A20" s="344" t="s">
        <v>514</v>
      </c>
      <c r="D20" s="224"/>
      <c r="F20" s="224"/>
    </row>
    <row r="21" spans="1:6">
      <c r="B21" t="s">
        <v>657</v>
      </c>
      <c r="C21">
        <f t="shared" ref="C21:C28" si="8">4*9.5+1*6.5</f>
        <v>44.5</v>
      </c>
      <c r="D21" s="224">
        <f t="shared" ref="D21:D28" si="9">40*55</f>
        <v>2200</v>
      </c>
      <c r="E21">
        <f t="shared" ref="E21:E28" si="10">C21-40</f>
        <v>4.5</v>
      </c>
      <c r="F21" s="224">
        <f t="shared" ref="F21:F28" si="11">D21+(E21*(1.5*55))</f>
        <v>2571.25</v>
      </c>
    </row>
    <row r="22" spans="1:6">
      <c r="B22" t="s">
        <v>658</v>
      </c>
      <c r="C22">
        <f t="shared" si="8"/>
        <v>44.5</v>
      </c>
      <c r="D22" s="224">
        <f t="shared" si="9"/>
        <v>2200</v>
      </c>
      <c r="E22">
        <f t="shared" si="10"/>
        <v>4.5</v>
      </c>
      <c r="F22" s="224">
        <f t="shared" si="11"/>
        <v>2571.25</v>
      </c>
    </row>
    <row r="23" spans="1:6">
      <c r="B23" t="s">
        <v>659</v>
      </c>
      <c r="C23">
        <f t="shared" si="8"/>
        <v>44.5</v>
      </c>
      <c r="D23" s="224">
        <f t="shared" si="9"/>
        <v>2200</v>
      </c>
      <c r="E23">
        <f t="shared" si="10"/>
        <v>4.5</v>
      </c>
      <c r="F23" s="224">
        <f t="shared" si="11"/>
        <v>2571.25</v>
      </c>
    </row>
    <row r="24" spans="1:6">
      <c r="B24" t="s">
        <v>660</v>
      </c>
      <c r="C24" s="345"/>
      <c r="D24" s="346"/>
      <c r="E24" s="345"/>
      <c r="F24" s="346"/>
    </row>
    <row r="25" spans="1:6">
      <c r="B25" t="s">
        <v>661</v>
      </c>
      <c r="C25" s="345"/>
      <c r="D25" s="346"/>
      <c r="E25" s="345"/>
      <c r="F25" s="346"/>
    </row>
    <row r="26" spans="1:6">
      <c r="A26" s="344" t="s">
        <v>515</v>
      </c>
      <c r="D26" s="224"/>
      <c r="F26" s="224"/>
    </row>
    <row r="27" spans="1:6">
      <c r="B27" t="s">
        <v>662</v>
      </c>
      <c r="C27">
        <f t="shared" si="8"/>
        <v>44.5</v>
      </c>
      <c r="D27" s="224">
        <f t="shared" si="9"/>
        <v>2200</v>
      </c>
      <c r="E27">
        <f t="shared" si="10"/>
        <v>4.5</v>
      </c>
      <c r="F27" s="224">
        <f t="shared" si="11"/>
        <v>2571.25</v>
      </c>
    </row>
    <row r="28" spans="1:6">
      <c r="B28" t="s">
        <v>663</v>
      </c>
      <c r="C28">
        <f t="shared" si="8"/>
        <v>44.5</v>
      </c>
      <c r="D28" s="224">
        <f t="shared" si="9"/>
        <v>2200</v>
      </c>
      <c r="E28">
        <f t="shared" si="10"/>
        <v>4.5</v>
      </c>
      <c r="F28" s="224">
        <f t="shared" si="11"/>
        <v>2571.25</v>
      </c>
    </row>
    <row r="29" spans="1:6">
      <c r="B29" t="s">
        <v>664</v>
      </c>
      <c r="C29">
        <f>3*9.5+1*6.5</f>
        <v>35</v>
      </c>
      <c r="D29" s="224">
        <f>C29*55</f>
        <v>1925</v>
      </c>
      <c r="F29" s="224">
        <f>D29</f>
        <v>1925</v>
      </c>
    </row>
    <row r="30" spans="1:6">
      <c r="B30" t="s">
        <v>665</v>
      </c>
      <c r="C30">
        <f>4*9.5+1*6.5</f>
        <v>44.5</v>
      </c>
      <c r="D30" s="224">
        <f>40*55</f>
        <v>2200</v>
      </c>
      <c r="E30">
        <f>C30-40</f>
        <v>4.5</v>
      </c>
      <c r="F30" s="224">
        <f>D30+(E30*(1.5*55))</f>
        <v>2571.25</v>
      </c>
    </row>
    <row r="31" spans="1:6">
      <c r="A31" s="344" t="s">
        <v>516</v>
      </c>
      <c r="D31" s="224"/>
      <c r="F31" s="224"/>
    </row>
    <row r="32" spans="1:6">
      <c r="B32" t="s">
        <v>666</v>
      </c>
      <c r="C32">
        <f t="shared" ref="C32:C37" si="12">4*9.5+1*6.5</f>
        <v>44.5</v>
      </c>
      <c r="D32" s="224">
        <f t="shared" ref="D32:D37" si="13">40*55</f>
        <v>2200</v>
      </c>
      <c r="E32">
        <f t="shared" ref="E32:E37" si="14">C32-40</f>
        <v>4.5</v>
      </c>
      <c r="F32" s="224">
        <f t="shared" ref="F32:F37" si="15">D32+(E32*(1.5*55))</f>
        <v>2571.25</v>
      </c>
    </row>
    <row r="33" spans="1:6">
      <c r="B33" t="s">
        <v>667</v>
      </c>
      <c r="C33">
        <f t="shared" si="12"/>
        <v>44.5</v>
      </c>
      <c r="D33" s="224">
        <f t="shared" si="13"/>
        <v>2200</v>
      </c>
      <c r="E33">
        <f t="shared" si="14"/>
        <v>4.5</v>
      </c>
      <c r="F33" s="224">
        <f t="shared" si="15"/>
        <v>2571.25</v>
      </c>
    </row>
    <row r="34" spans="1:6">
      <c r="B34" t="s">
        <v>668</v>
      </c>
      <c r="C34" s="345"/>
      <c r="D34" s="346"/>
      <c r="E34" s="345"/>
      <c r="F34" s="346"/>
    </row>
    <row r="35" spans="1:6">
      <c r="B35" t="s">
        <v>669</v>
      </c>
      <c r="C35">
        <f t="shared" si="12"/>
        <v>44.5</v>
      </c>
      <c r="D35" s="224">
        <f t="shared" si="13"/>
        <v>2200</v>
      </c>
      <c r="E35">
        <f t="shared" si="14"/>
        <v>4.5</v>
      </c>
      <c r="F35" s="224">
        <f t="shared" si="15"/>
        <v>2571.25</v>
      </c>
    </row>
    <row r="36" spans="1:6">
      <c r="A36" s="344" t="s">
        <v>517</v>
      </c>
      <c r="D36" s="224"/>
      <c r="F36" s="224"/>
    </row>
    <row r="37" spans="1:6">
      <c r="B37" t="s">
        <v>670</v>
      </c>
      <c r="C37">
        <f t="shared" si="12"/>
        <v>44.5</v>
      </c>
      <c r="D37" s="224">
        <f t="shared" si="13"/>
        <v>2200</v>
      </c>
      <c r="E37">
        <f t="shared" si="14"/>
        <v>4.5</v>
      </c>
      <c r="F37" s="224">
        <f t="shared" si="15"/>
        <v>2571.25</v>
      </c>
    </row>
    <row r="38" spans="1:6">
      <c r="B38" t="s">
        <v>671</v>
      </c>
      <c r="C38">
        <f>2*9.5+1*6.5</f>
        <v>25.5</v>
      </c>
      <c r="D38" s="224">
        <f>C38*55</f>
        <v>1402.5</v>
      </c>
      <c r="F38" s="224">
        <f>D38</f>
        <v>1402.5</v>
      </c>
    </row>
    <row r="39" spans="1:6">
      <c r="B39" t="s">
        <v>672</v>
      </c>
      <c r="C39">
        <f>4*9.5+1*6.5</f>
        <v>44.5</v>
      </c>
      <c r="D39" s="224">
        <f>40*55</f>
        <v>2200</v>
      </c>
      <c r="E39">
        <f>C39-40</f>
        <v>4.5</v>
      </c>
      <c r="F39" s="224">
        <f>D39+(E39*(1.5*55))</f>
        <v>2571.25</v>
      </c>
    </row>
    <row r="40" spans="1:6">
      <c r="B40" t="s">
        <v>673</v>
      </c>
      <c r="C40">
        <f t="shared" ref="C40:C43" si="16">4*9.5+1*6.5</f>
        <v>44.5</v>
      </c>
      <c r="D40" s="224">
        <f t="shared" ref="D40:D43" si="17">40*55</f>
        <v>2200</v>
      </c>
      <c r="E40">
        <f t="shared" ref="E40:E43" si="18">C40-40</f>
        <v>4.5</v>
      </c>
      <c r="F40" s="224">
        <f t="shared" ref="F40:F43" si="19">D40+(E40*(1.5*55))</f>
        <v>2571.25</v>
      </c>
    </row>
    <row r="41" spans="1:6">
      <c r="B41" t="s">
        <v>674</v>
      </c>
      <c r="C41">
        <f t="shared" si="16"/>
        <v>44.5</v>
      </c>
      <c r="D41" s="224">
        <f t="shared" si="17"/>
        <v>2200</v>
      </c>
      <c r="E41">
        <f t="shared" si="18"/>
        <v>4.5</v>
      </c>
      <c r="F41" s="224">
        <f t="shared" si="19"/>
        <v>2571.25</v>
      </c>
    </row>
    <row r="42" spans="1:6">
      <c r="A42" s="344" t="s">
        <v>518</v>
      </c>
      <c r="D42" s="224"/>
      <c r="F42" s="224"/>
    </row>
    <row r="43" spans="1:6">
      <c r="B43" t="s">
        <v>675</v>
      </c>
      <c r="C43">
        <f t="shared" si="16"/>
        <v>44.5</v>
      </c>
      <c r="D43" s="224">
        <f t="shared" si="17"/>
        <v>2200</v>
      </c>
      <c r="E43">
        <f t="shared" si="18"/>
        <v>4.5</v>
      </c>
      <c r="F43" s="224">
        <f t="shared" si="19"/>
        <v>2571.25</v>
      </c>
    </row>
    <row r="44" spans="1:6">
      <c r="B44" t="s">
        <v>676</v>
      </c>
      <c r="C44" s="345"/>
      <c r="D44" s="346"/>
      <c r="E44" s="345"/>
      <c r="F44" s="346"/>
    </row>
    <row r="45" spans="1:6">
      <c r="B45" t="s">
        <v>677</v>
      </c>
      <c r="C45">
        <f>4*9.5+1*6.5</f>
        <v>44.5</v>
      </c>
      <c r="D45" s="224">
        <f>40*55</f>
        <v>2200</v>
      </c>
      <c r="E45">
        <f>C45-40</f>
        <v>4.5</v>
      </c>
      <c r="F45" s="224">
        <f>D45+(E45*(1.5*55))</f>
        <v>2571.25</v>
      </c>
    </row>
    <row r="46" spans="1:6">
      <c r="B46" t="s">
        <v>678</v>
      </c>
      <c r="C46">
        <f t="shared" ref="C46:C50" si="20">4*9.5+1*6.5</f>
        <v>44.5</v>
      </c>
      <c r="D46" s="224">
        <f t="shared" ref="D46:D50" si="21">40*55</f>
        <v>2200</v>
      </c>
      <c r="E46">
        <f t="shared" ref="E46:E50" si="22">C46-40</f>
        <v>4.5</v>
      </c>
      <c r="F46" s="224">
        <f t="shared" ref="F46:F50" si="23">D46+(E46*(1.5*55))</f>
        <v>2571.25</v>
      </c>
    </row>
    <row r="47" spans="1:6">
      <c r="A47" s="344" t="s">
        <v>519</v>
      </c>
      <c r="D47" s="224"/>
      <c r="F47" s="224"/>
    </row>
    <row r="48" spans="1:6">
      <c r="B48" t="s">
        <v>679</v>
      </c>
      <c r="C48">
        <f t="shared" si="20"/>
        <v>44.5</v>
      </c>
      <c r="D48" s="224">
        <f t="shared" si="21"/>
        <v>2200</v>
      </c>
      <c r="E48">
        <f t="shared" si="22"/>
        <v>4.5</v>
      </c>
      <c r="F48" s="224">
        <f t="shared" si="23"/>
        <v>2571.25</v>
      </c>
    </row>
    <row r="49" spans="1:6">
      <c r="B49" t="s">
        <v>680</v>
      </c>
      <c r="C49">
        <f t="shared" si="20"/>
        <v>44.5</v>
      </c>
      <c r="D49" s="224">
        <f t="shared" si="21"/>
        <v>2200</v>
      </c>
      <c r="E49">
        <f t="shared" si="22"/>
        <v>4.5</v>
      </c>
      <c r="F49" s="224">
        <f t="shared" si="23"/>
        <v>2571.25</v>
      </c>
    </row>
    <row r="50" spans="1:6">
      <c r="B50" t="s">
        <v>681</v>
      </c>
      <c r="C50">
        <f t="shared" si="20"/>
        <v>44.5</v>
      </c>
      <c r="D50" s="224">
        <f t="shared" si="21"/>
        <v>2200</v>
      </c>
      <c r="E50">
        <f t="shared" si="22"/>
        <v>4.5</v>
      </c>
      <c r="F50" s="224">
        <f t="shared" si="23"/>
        <v>2571.25</v>
      </c>
    </row>
    <row r="51" spans="1:6">
      <c r="B51" t="s">
        <v>682</v>
      </c>
      <c r="C51">
        <f>3*9.5+1*6.5</f>
        <v>35</v>
      </c>
      <c r="D51" s="224">
        <f>C51*55</f>
        <v>1925</v>
      </c>
      <c r="F51" s="224">
        <f>D51</f>
        <v>1925</v>
      </c>
    </row>
    <row r="52" spans="1:6">
      <c r="A52" s="344" t="s">
        <v>520</v>
      </c>
      <c r="D52" s="224"/>
      <c r="F52" s="224"/>
    </row>
    <row r="53" spans="1:6">
      <c r="B53" t="s">
        <v>683</v>
      </c>
      <c r="C53">
        <f>4*9.5+1*6.5</f>
        <v>44.5</v>
      </c>
      <c r="D53" s="224">
        <f>40*55</f>
        <v>2200</v>
      </c>
      <c r="E53">
        <f>C53-40</f>
        <v>4.5</v>
      </c>
      <c r="F53" s="224">
        <f>D53+(E53*(1.5*55))</f>
        <v>2571.25</v>
      </c>
    </row>
    <row r="54" spans="1:6">
      <c r="B54" t="s">
        <v>684</v>
      </c>
      <c r="C54">
        <f t="shared" ref="C54" si="24">4*9.5+1*6.5</f>
        <v>44.5</v>
      </c>
      <c r="D54" s="224">
        <f t="shared" ref="D54" si="25">40*55</f>
        <v>2200</v>
      </c>
      <c r="E54">
        <f t="shared" ref="E54" si="26">C54-40</f>
        <v>4.5</v>
      </c>
      <c r="F54" s="224">
        <f t="shared" ref="F54" si="27">D54+(E54*(1.5*55))</f>
        <v>2571.25</v>
      </c>
    </row>
    <row r="55" spans="1:6" ht="16" thickBot="1">
      <c r="B55" t="s">
        <v>685</v>
      </c>
      <c r="C55">
        <f>4*9.5</f>
        <v>38</v>
      </c>
      <c r="D55" s="224">
        <f>C55*55</f>
        <v>2090</v>
      </c>
      <c r="F55" s="347">
        <f>D55</f>
        <v>2090</v>
      </c>
    </row>
    <row r="56" spans="1:6" ht="16" thickTop="1">
      <c r="F56" s="348">
        <f>SUM(F3:F55)</f>
        <v>92688.75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06DE-02C9-4D98-BB46-860E6EDAC153}">
  <sheetPr>
    <pageSetUpPr fitToPage="1"/>
  </sheetPr>
  <dimension ref="B1:N323"/>
  <sheetViews>
    <sheetView workbookViewId="0">
      <selection activeCell="L36" sqref="L36"/>
    </sheetView>
  </sheetViews>
  <sheetFormatPr defaultColWidth="9.1171875" defaultRowHeight="12.7"/>
  <cols>
    <col min="1" max="1" width="1.64453125" style="680" customWidth="1"/>
    <col min="2" max="2" width="4.1171875" style="676" customWidth="1"/>
    <col min="3" max="3" width="1.46875" style="676" customWidth="1"/>
    <col min="4" max="4" width="4" style="680" customWidth="1"/>
    <col min="5" max="5" width="3.1171875" style="680" customWidth="1"/>
    <col min="6" max="6" width="5.8203125" style="680" customWidth="1"/>
    <col min="7" max="7" width="47.3515625" style="680" customWidth="1"/>
    <col min="8" max="12" width="14.46875" style="680" customWidth="1"/>
    <col min="13" max="13" width="13.46875" style="680" customWidth="1"/>
    <col min="14" max="14" width="0.46875" style="680" customWidth="1"/>
    <col min="15" max="16384" width="9.1171875" style="680"/>
  </cols>
  <sheetData>
    <row r="1" spans="2:14" s="676" customFormat="1" ht="15.35">
      <c r="B1" s="674" t="s">
        <v>908</v>
      </c>
      <c r="C1" s="674"/>
      <c r="D1" s="674"/>
      <c r="E1" s="674"/>
      <c r="F1" s="674"/>
      <c r="G1" s="674"/>
      <c r="H1" s="675"/>
      <c r="I1" s="675"/>
      <c r="J1" s="675"/>
      <c r="K1" s="675"/>
      <c r="L1" s="675"/>
    </row>
    <row r="2" spans="2:14" s="676" customFormat="1" ht="15.35">
      <c r="B2" s="674" t="s">
        <v>965</v>
      </c>
      <c r="C2" s="674"/>
      <c r="D2" s="674"/>
      <c r="E2" s="674"/>
      <c r="F2" s="674"/>
      <c r="G2" s="674"/>
      <c r="H2" s="675"/>
      <c r="I2" s="675"/>
      <c r="J2" s="675"/>
      <c r="K2" s="675"/>
      <c r="L2" s="675"/>
    </row>
    <row r="3" spans="2:14" s="676" customFormat="1" ht="5.25" customHeight="1">
      <c r="B3" s="674"/>
      <c r="C3" s="674"/>
      <c r="H3" s="675"/>
      <c r="I3" s="675"/>
      <c r="J3" s="675"/>
      <c r="K3" s="675"/>
      <c r="L3" s="675"/>
    </row>
    <row r="4" spans="2:14" s="679" customFormat="1">
      <c r="B4" s="677"/>
      <c r="C4" s="677"/>
      <c r="D4" s="677"/>
      <c r="E4" s="677"/>
      <c r="F4" s="677"/>
      <c r="G4" s="677"/>
    </row>
    <row r="5" spans="2:14">
      <c r="H5" s="678">
        <v>43739</v>
      </c>
      <c r="I5" s="678">
        <f>H5+31</f>
        <v>43770</v>
      </c>
      <c r="J5" s="678">
        <f>I5+31</f>
        <v>43801</v>
      </c>
      <c r="K5" s="678">
        <f>J5+31</f>
        <v>43832</v>
      </c>
      <c r="L5" s="678">
        <f t="shared" ref="L5" si="0">K5+30</f>
        <v>43862</v>
      </c>
      <c r="M5" s="681" t="s">
        <v>0</v>
      </c>
    </row>
    <row r="6" spans="2:14">
      <c r="H6" s="682"/>
      <c r="I6" s="682"/>
      <c r="J6" s="682"/>
      <c r="K6" s="682"/>
      <c r="L6" s="682"/>
      <c r="M6" s="682"/>
    </row>
    <row r="7" spans="2:14">
      <c r="B7" s="674"/>
      <c r="H7" s="682"/>
      <c r="I7" s="682"/>
      <c r="J7" s="682"/>
      <c r="K7" s="682"/>
      <c r="L7" s="682"/>
      <c r="M7" s="682"/>
    </row>
    <row r="8" spans="2:14" s="683" customFormat="1">
      <c r="B8" s="674"/>
      <c r="C8" s="674"/>
      <c r="G8" s="684" t="s">
        <v>964</v>
      </c>
      <c r="H8" s="685">
        <f>436112.04-20000</f>
        <v>416112.04</v>
      </c>
      <c r="I8" s="685">
        <f>H36</f>
        <v>576670.84950293577</v>
      </c>
      <c r="J8" s="685">
        <f>I36</f>
        <v>286680.43567253824</v>
      </c>
      <c r="K8" s="685">
        <f>J36</f>
        <v>447239.24517547392</v>
      </c>
      <c r="L8" s="685">
        <f>K36</f>
        <v>172248.83134507638</v>
      </c>
      <c r="M8" s="685">
        <f>H8</f>
        <v>416112.04</v>
      </c>
    </row>
    <row r="9" spans="2:14" s="683" customFormat="1">
      <c r="B9" s="674"/>
      <c r="C9" s="674"/>
      <c r="D9" s="674"/>
      <c r="H9" s="685"/>
      <c r="J9" s="685"/>
      <c r="L9" s="685"/>
      <c r="M9" s="685"/>
    </row>
    <row r="10" spans="2:14">
      <c r="D10" s="683" t="s">
        <v>886</v>
      </c>
      <c r="E10" s="683"/>
      <c r="F10" s="683"/>
      <c r="G10" s="683"/>
      <c r="H10" s="686">
        <f>238920.55+50220</f>
        <v>289140.55</v>
      </c>
      <c r="I10" s="685"/>
      <c r="J10" s="686">
        <f>238920.55+50220</f>
        <v>289140.55</v>
      </c>
      <c r="K10" s="685"/>
      <c r="L10" s="686">
        <f>238920.55+50220</f>
        <v>289140.55</v>
      </c>
      <c r="M10" s="686">
        <f>SUM(H10:L10)</f>
        <v>867421.64999999991</v>
      </c>
    </row>
    <row r="11" spans="2:14" hidden="1">
      <c r="D11" s="683" t="s">
        <v>887</v>
      </c>
      <c r="E11" s="683"/>
      <c r="F11" s="683"/>
      <c r="G11" s="683"/>
      <c r="H11" s="686"/>
      <c r="I11" s="686"/>
      <c r="J11" s="686"/>
      <c r="K11" s="686"/>
      <c r="L11" s="686"/>
      <c r="M11" s="686">
        <f>SUM(H11:L11)</f>
        <v>0</v>
      </c>
    </row>
    <row r="12" spans="2:14">
      <c r="D12" s="683" t="s">
        <v>904</v>
      </c>
      <c r="E12" s="683"/>
      <c r="F12" s="683"/>
      <c r="G12" s="683"/>
      <c r="H12" s="686">
        <v>81549.299999999988</v>
      </c>
      <c r="I12" s="686"/>
      <c r="J12" s="686">
        <v>81549.299999999988</v>
      </c>
      <c r="K12" s="686"/>
      <c r="L12" s="686">
        <v>81549.299999999988</v>
      </c>
      <c r="M12" s="686">
        <f>SUM(H12:L12)</f>
        <v>244647.89999999997</v>
      </c>
    </row>
    <row r="13" spans="2:14">
      <c r="D13" s="683" t="s">
        <v>905</v>
      </c>
      <c r="E13" s="683"/>
      <c r="F13" s="683"/>
      <c r="G13" s="683"/>
      <c r="H13" s="686">
        <v>124610.33333333333</v>
      </c>
      <c r="I13" s="686"/>
      <c r="J13" s="686">
        <v>124610.33333333333</v>
      </c>
      <c r="K13" s="686"/>
      <c r="L13" s="686">
        <v>124610.33333333333</v>
      </c>
      <c r="M13" s="686">
        <f>SUM(H13:L13)</f>
        <v>373831</v>
      </c>
    </row>
    <row r="14" spans="2:14">
      <c r="D14" s="683" t="s">
        <v>888</v>
      </c>
      <c r="E14" s="683"/>
      <c r="F14" s="683"/>
      <c r="G14" s="683"/>
      <c r="H14" s="686"/>
      <c r="I14" s="686"/>
      <c r="J14" s="686"/>
      <c r="K14" s="686">
        <v>15000</v>
      </c>
      <c r="L14" s="686"/>
      <c r="M14" s="686">
        <f>SUM(H14:L14)</f>
        <v>15000</v>
      </c>
      <c r="N14" s="680" t="s">
        <v>889</v>
      </c>
    </row>
    <row r="15" spans="2:14" hidden="1">
      <c r="B15" s="674"/>
      <c r="C15" s="677" t="s">
        <v>890</v>
      </c>
      <c r="D15" s="683"/>
      <c r="E15" s="683"/>
      <c r="F15" s="687"/>
      <c r="G15" s="687"/>
      <c r="H15" s="688"/>
      <c r="I15" s="688"/>
      <c r="J15" s="688"/>
      <c r="K15" s="688"/>
      <c r="L15" s="688"/>
      <c r="M15" s="686" t="e">
        <f>SUM(#REF!)</f>
        <v>#REF!</v>
      </c>
    </row>
    <row r="16" spans="2:14">
      <c r="B16" s="689" t="s">
        <v>891</v>
      </c>
      <c r="C16" s="690"/>
      <c r="D16" s="691"/>
      <c r="E16" s="691"/>
      <c r="F16" s="691"/>
      <c r="G16" s="692"/>
      <c r="H16" s="693">
        <f>SUM(H10:H15)</f>
        <v>495300.18333333329</v>
      </c>
      <c r="I16" s="693">
        <f>SUM(I10:I15)</f>
        <v>0</v>
      </c>
      <c r="J16" s="693">
        <f>SUM(J10:J15)</f>
        <v>495300.18333333329</v>
      </c>
      <c r="K16" s="693">
        <f>SUM(K10:K15)</f>
        <v>15000</v>
      </c>
      <c r="L16" s="693">
        <f>SUM(L10:L15)</f>
        <v>495300.18333333329</v>
      </c>
      <c r="M16" s="693">
        <f>M10+M12+M13+M14</f>
        <v>1500900.5499999998</v>
      </c>
    </row>
    <row r="17" spans="2:13">
      <c r="B17" s="677"/>
      <c r="D17" s="683"/>
      <c r="E17" s="683"/>
      <c r="F17" s="683"/>
      <c r="G17" s="683"/>
    </row>
    <row r="18" spans="2:13">
      <c r="B18" s="674" t="s">
        <v>892</v>
      </c>
      <c r="C18" s="677"/>
      <c r="D18" s="687"/>
      <c r="E18" s="687"/>
      <c r="F18" s="687"/>
      <c r="G18" s="687"/>
    </row>
    <row r="19" spans="2:13">
      <c r="B19" s="694"/>
      <c r="D19" s="674" t="s">
        <v>893</v>
      </c>
      <c r="E19" s="683"/>
      <c r="F19" s="683"/>
      <c r="G19" s="683"/>
      <c r="H19" s="686">
        <v>88920.072000000015</v>
      </c>
      <c r="I19" s="686">
        <f>H19</f>
        <v>88920.072000000015</v>
      </c>
      <c r="J19" s="686">
        <f t="shared" ref="J19:L19" si="1">I19</f>
        <v>88920.072000000015</v>
      </c>
      <c r="K19" s="686">
        <f t="shared" si="1"/>
        <v>88920.072000000015</v>
      </c>
      <c r="L19" s="686">
        <f t="shared" si="1"/>
        <v>88920.072000000015</v>
      </c>
      <c r="M19" s="686">
        <f>SUM(H19:L19)</f>
        <v>444600.3600000001</v>
      </c>
    </row>
    <row r="20" spans="2:13">
      <c r="B20" s="695"/>
      <c r="D20" s="674" t="s">
        <v>894</v>
      </c>
      <c r="E20" s="683"/>
      <c r="F20" s="683"/>
      <c r="G20" s="683"/>
      <c r="H20" s="686">
        <v>17176.716204499997</v>
      </c>
      <c r="I20" s="686">
        <f t="shared" ref="I20:L20" si="2">H20</f>
        <v>17176.716204499997</v>
      </c>
      <c r="J20" s="686">
        <f t="shared" si="2"/>
        <v>17176.716204499997</v>
      </c>
      <c r="K20" s="686">
        <f t="shared" si="2"/>
        <v>17176.716204499997</v>
      </c>
      <c r="L20" s="686">
        <f t="shared" si="2"/>
        <v>17176.716204499997</v>
      </c>
      <c r="M20" s="686">
        <f>SUM(H20:L20)</f>
        <v>85883.581022499988</v>
      </c>
    </row>
    <row r="21" spans="2:13" ht="6" customHeight="1">
      <c r="B21" s="695"/>
      <c r="D21" s="674"/>
      <c r="E21" s="683"/>
      <c r="F21" s="683"/>
      <c r="G21" s="683"/>
      <c r="H21" s="688"/>
      <c r="I21" s="688"/>
      <c r="J21" s="688"/>
      <c r="K21" s="688"/>
      <c r="L21" s="688"/>
      <c r="M21" s="688"/>
    </row>
    <row r="22" spans="2:13" s="683" customFormat="1">
      <c r="B22" s="674" t="s">
        <v>895</v>
      </c>
      <c r="C22" s="674"/>
      <c r="H22" s="696">
        <f t="shared" ref="H22:M22" si="3">SUM(H19:H20)</f>
        <v>106096.78820450002</v>
      </c>
      <c r="I22" s="696">
        <f t="shared" si="3"/>
        <v>106096.78820450002</v>
      </c>
      <c r="J22" s="696">
        <f t="shared" si="3"/>
        <v>106096.78820450002</v>
      </c>
      <c r="K22" s="696">
        <f t="shared" si="3"/>
        <v>106096.78820450002</v>
      </c>
      <c r="L22" s="696">
        <f t="shared" si="3"/>
        <v>106096.78820450002</v>
      </c>
      <c r="M22" s="696">
        <f t="shared" si="3"/>
        <v>530483.94102250005</v>
      </c>
    </row>
    <row r="23" spans="2:13" s="683" customFormat="1">
      <c r="B23" s="674"/>
      <c r="C23" s="674"/>
    </row>
    <row r="24" spans="2:13">
      <c r="B24" s="674" t="s">
        <v>896</v>
      </c>
      <c r="D24" s="683"/>
      <c r="E24" s="683"/>
      <c r="F24" s="683"/>
      <c r="G24" s="683"/>
    </row>
    <row r="25" spans="2:13">
      <c r="B25" s="674"/>
      <c r="D25" s="683" t="s">
        <v>906</v>
      </c>
      <c r="E25" s="683"/>
      <c r="F25" s="683"/>
      <c r="G25" s="683"/>
      <c r="H25" s="702">
        <v>15750.802000000001</v>
      </c>
      <c r="I25" s="702">
        <f t="shared" ref="I25:L25" si="4">H25</f>
        <v>15750.802000000001</v>
      </c>
      <c r="J25" s="702">
        <f t="shared" si="4"/>
        <v>15750.802000000001</v>
      </c>
      <c r="K25" s="702">
        <f t="shared" si="4"/>
        <v>15750.802000000001</v>
      </c>
      <c r="L25" s="702">
        <f t="shared" si="4"/>
        <v>15750.802000000001</v>
      </c>
      <c r="M25" s="686">
        <f>SUM(H25:L25)</f>
        <v>78754.010000000009</v>
      </c>
    </row>
    <row r="26" spans="2:13">
      <c r="B26" s="694"/>
      <c r="D26" s="695" t="s">
        <v>897</v>
      </c>
      <c r="E26" s="683"/>
      <c r="F26" s="683"/>
      <c r="G26" s="683"/>
      <c r="H26" s="686">
        <v>4757.5019999999995</v>
      </c>
      <c r="I26" s="686">
        <f t="shared" ref="I26:L26" si="5">H26</f>
        <v>4757.5019999999995</v>
      </c>
      <c r="J26" s="686">
        <f t="shared" si="5"/>
        <v>4757.5019999999995</v>
      </c>
      <c r="K26" s="686">
        <f t="shared" si="5"/>
        <v>4757.5019999999995</v>
      </c>
      <c r="L26" s="686">
        <f t="shared" si="5"/>
        <v>4757.5019999999995</v>
      </c>
      <c r="M26" s="686">
        <f>SUM(H26:L26)</f>
        <v>23787.51</v>
      </c>
    </row>
    <row r="27" spans="2:13">
      <c r="D27" s="695" t="s">
        <v>898</v>
      </c>
      <c r="E27" s="683"/>
      <c r="F27" s="683"/>
      <c r="G27" s="683"/>
      <c r="H27" s="686">
        <v>32647.807999999997</v>
      </c>
      <c r="I27" s="686">
        <f t="shared" ref="I27:L27" si="6">H27</f>
        <v>32647.807999999997</v>
      </c>
      <c r="J27" s="686">
        <f t="shared" si="6"/>
        <v>32647.807999999997</v>
      </c>
      <c r="K27" s="686">
        <f t="shared" si="6"/>
        <v>32647.807999999997</v>
      </c>
      <c r="L27" s="686">
        <f t="shared" si="6"/>
        <v>32647.807999999997</v>
      </c>
      <c r="M27" s="686">
        <f>SUM(H27:L27)</f>
        <v>163239.03999999998</v>
      </c>
    </row>
    <row r="28" spans="2:13">
      <c r="D28" s="695" t="s">
        <v>899</v>
      </c>
      <c r="E28" s="683"/>
      <c r="F28" s="683"/>
      <c r="G28" s="683"/>
      <c r="H28" s="686">
        <v>130737.51362589755</v>
      </c>
      <c r="I28" s="686">
        <f t="shared" ref="I28:L28" si="7">H28</f>
        <v>130737.51362589755</v>
      </c>
      <c r="J28" s="686">
        <f t="shared" si="7"/>
        <v>130737.51362589755</v>
      </c>
      <c r="K28" s="686">
        <f t="shared" si="7"/>
        <v>130737.51362589755</v>
      </c>
      <c r="L28" s="686">
        <f t="shared" si="7"/>
        <v>130737.51362589755</v>
      </c>
      <c r="M28" s="686">
        <f>SUM(H28:L28)</f>
        <v>653687.5681294878</v>
      </c>
    </row>
    <row r="29" spans="2:13">
      <c r="D29" s="695" t="s">
        <v>907</v>
      </c>
      <c r="E29" s="683"/>
      <c r="F29" s="683"/>
      <c r="G29" s="683"/>
      <c r="H29" s="686">
        <v>44750.96</v>
      </c>
      <c r="I29" s="686"/>
      <c r="J29" s="686">
        <f>H29</f>
        <v>44750.96</v>
      </c>
      <c r="K29" s="686"/>
      <c r="L29" s="686">
        <f>H29</f>
        <v>44750.96</v>
      </c>
      <c r="M29" s="686">
        <f>SUM(H29:L29)</f>
        <v>134252.88</v>
      </c>
    </row>
    <row r="30" spans="2:13">
      <c r="D30" s="695" t="s">
        <v>903</v>
      </c>
      <c r="E30" s="683"/>
      <c r="F30" s="683"/>
      <c r="G30" s="683"/>
      <c r="H30" s="697"/>
      <c r="I30" s="697"/>
      <c r="J30" s="697"/>
      <c r="K30" s="697"/>
      <c r="L30" s="697"/>
      <c r="M30" s="686"/>
    </row>
    <row r="31" spans="2:13" ht="6.75" customHeight="1">
      <c r="B31" s="694"/>
      <c r="D31" s="695"/>
      <c r="E31" s="683"/>
      <c r="F31" s="683"/>
      <c r="G31" s="683"/>
      <c r="H31" s="698"/>
      <c r="I31" s="698"/>
      <c r="J31" s="698"/>
      <c r="K31" s="698"/>
      <c r="L31" s="698"/>
      <c r="M31" s="698"/>
    </row>
    <row r="32" spans="2:13">
      <c r="B32" s="674" t="s">
        <v>900</v>
      </c>
      <c r="D32" s="683"/>
      <c r="E32" s="683"/>
      <c r="F32" s="683"/>
      <c r="G32" s="683"/>
      <c r="H32" s="688">
        <f t="shared" ref="H32:M32" si="8">SUM(H25:H30)</f>
        <v>228644.58562589754</v>
      </c>
      <c r="I32" s="688">
        <f t="shared" si="8"/>
        <v>183893.62562589755</v>
      </c>
      <c r="J32" s="688">
        <f t="shared" si="8"/>
        <v>228644.58562589754</v>
      </c>
      <c r="K32" s="688">
        <f t="shared" si="8"/>
        <v>183893.62562589755</v>
      </c>
      <c r="L32" s="688">
        <f t="shared" si="8"/>
        <v>228644.58562589754</v>
      </c>
      <c r="M32" s="688">
        <f t="shared" si="8"/>
        <v>1053721.0081294877</v>
      </c>
    </row>
    <row r="33" spans="2:13">
      <c r="B33" s="674"/>
      <c r="D33" s="683"/>
      <c r="E33" s="683"/>
      <c r="F33" s="683"/>
      <c r="G33" s="683"/>
      <c r="H33" s="688"/>
      <c r="I33" s="688"/>
      <c r="J33" s="688"/>
      <c r="K33" s="688"/>
      <c r="L33" s="688"/>
      <c r="M33" s="688"/>
    </row>
    <row r="34" spans="2:13">
      <c r="B34" s="689" t="s">
        <v>901</v>
      </c>
      <c r="C34" s="690"/>
      <c r="D34" s="691"/>
      <c r="E34" s="691"/>
      <c r="F34" s="691"/>
      <c r="G34" s="699"/>
      <c r="H34" s="693">
        <f t="shared" ref="H34:L34" si="9">H22+H32</f>
        <v>334741.37383039756</v>
      </c>
      <c r="I34" s="693">
        <f t="shared" si="9"/>
        <v>289990.41383039753</v>
      </c>
      <c r="J34" s="693">
        <f t="shared" si="9"/>
        <v>334741.37383039756</v>
      </c>
      <c r="K34" s="693">
        <f t="shared" si="9"/>
        <v>289990.41383039753</v>
      </c>
      <c r="L34" s="693">
        <f t="shared" si="9"/>
        <v>334741.37383039756</v>
      </c>
      <c r="M34" s="693">
        <f>M22+M32</f>
        <v>1584204.9491519877</v>
      </c>
    </row>
    <row r="35" spans="2:13" ht="17.25" customHeight="1">
      <c r="D35" s="683"/>
    </row>
    <row r="36" spans="2:13" ht="13" thickBot="1">
      <c r="B36" s="689" t="s">
        <v>902</v>
      </c>
      <c r="C36" s="690"/>
      <c r="D36" s="691"/>
      <c r="E36" s="691"/>
      <c r="F36" s="691"/>
      <c r="G36" s="691"/>
      <c r="H36" s="700">
        <f t="shared" ref="H36:M36" si="10">+H8+H16-H34</f>
        <v>576670.84950293577</v>
      </c>
      <c r="I36" s="700">
        <f t="shared" si="10"/>
        <v>286680.43567253824</v>
      </c>
      <c r="J36" s="700">
        <f t="shared" si="10"/>
        <v>447239.24517547392</v>
      </c>
      <c r="K36" s="700">
        <f t="shared" si="10"/>
        <v>172248.83134507638</v>
      </c>
      <c r="L36" s="700">
        <f t="shared" si="10"/>
        <v>332807.64084801212</v>
      </c>
      <c r="M36" s="700">
        <f t="shared" si="10"/>
        <v>332807.64084801218</v>
      </c>
    </row>
    <row r="37" spans="2:13">
      <c r="B37" s="680"/>
      <c r="C37" s="680"/>
      <c r="M37" s="701"/>
    </row>
    <row r="38" spans="2:13">
      <c r="B38" s="680"/>
      <c r="C38" s="680"/>
    </row>
    <row r="39" spans="2:13">
      <c r="B39" s="680"/>
      <c r="C39" s="680"/>
    </row>
    <row r="40" spans="2:13">
      <c r="B40" s="680"/>
      <c r="C40" s="680"/>
    </row>
    <row r="41" spans="2:13">
      <c r="B41" s="680"/>
      <c r="C41" s="680"/>
    </row>
    <row r="42" spans="2:13">
      <c r="B42" s="680"/>
      <c r="C42" s="680"/>
    </row>
    <row r="43" spans="2:13">
      <c r="B43" s="680"/>
      <c r="C43" s="680"/>
    </row>
    <row r="44" spans="2:13">
      <c r="B44" s="680"/>
      <c r="C44" s="680"/>
    </row>
    <row r="45" spans="2:13">
      <c r="B45" s="680"/>
      <c r="C45" s="680"/>
    </row>
    <row r="46" spans="2:13">
      <c r="B46" s="680"/>
      <c r="C46" s="680"/>
    </row>
    <row r="47" spans="2:13">
      <c r="B47" s="680"/>
      <c r="C47" s="680"/>
    </row>
    <row r="48" spans="2:13">
      <c r="B48" s="680"/>
      <c r="C48" s="680"/>
    </row>
    <row r="49" spans="2:3">
      <c r="B49" s="680"/>
      <c r="C49" s="680"/>
    </row>
    <row r="50" spans="2:3">
      <c r="B50" s="680"/>
      <c r="C50" s="680"/>
    </row>
    <row r="51" spans="2:3">
      <c r="B51" s="680"/>
      <c r="C51" s="680"/>
    </row>
    <row r="52" spans="2:3">
      <c r="B52" s="680"/>
      <c r="C52" s="680"/>
    </row>
    <row r="53" spans="2:3">
      <c r="B53" s="680"/>
      <c r="C53" s="680"/>
    </row>
    <row r="54" spans="2:3">
      <c r="B54" s="680"/>
      <c r="C54" s="680"/>
    </row>
    <row r="55" spans="2:3">
      <c r="B55" s="680"/>
      <c r="C55" s="680"/>
    </row>
    <row r="56" spans="2:3">
      <c r="B56" s="680"/>
      <c r="C56" s="680"/>
    </row>
    <row r="57" spans="2:3">
      <c r="B57" s="680"/>
      <c r="C57" s="680"/>
    </row>
    <row r="58" spans="2:3">
      <c r="B58" s="680"/>
      <c r="C58" s="680"/>
    </row>
    <row r="59" spans="2:3">
      <c r="B59" s="680"/>
      <c r="C59" s="680"/>
    </row>
    <row r="60" spans="2:3">
      <c r="B60" s="680"/>
      <c r="C60" s="680"/>
    </row>
    <row r="61" spans="2:3">
      <c r="B61" s="680"/>
      <c r="C61" s="680"/>
    </row>
    <row r="62" spans="2:3">
      <c r="B62" s="680"/>
      <c r="C62" s="680"/>
    </row>
    <row r="63" spans="2:3">
      <c r="B63" s="680"/>
      <c r="C63" s="680"/>
    </row>
    <row r="64" spans="2:3">
      <c r="B64" s="680"/>
      <c r="C64" s="680"/>
    </row>
    <row r="65" spans="2:3">
      <c r="B65" s="680"/>
      <c r="C65" s="680"/>
    </row>
    <row r="66" spans="2:3">
      <c r="B66" s="680"/>
      <c r="C66" s="680"/>
    </row>
    <row r="67" spans="2:3">
      <c r="B67" s="680"/>
      <c r="C67" s="680"/>
    </row>
    <row r="68" spans="2:3">
      <c r="B68" s="680"/>
      <c r="C68" s="680"/>
    </row>
    <row r="69" spans="2:3">
      <c r="B69" s="680"/>
      <c r="C69" s="680"/>
    </row>
    <row r="70" spans="2:3">
      <c r="B70" s="680"/>
      <c r="C70" s="680"/>
    </row>
    <row r="71" spans="2:3">
      <c r="B71" s="680"/>
      <c r="C71" s="680"/>
    </row>
    <row r="72" spans="2:3">
      <c r="B72" s="680"/>
      <c r="C72" s="680"/>
    </row>
    <row r="73" spans="2:3">
      <c r="B73" s="680"/>
      <c r="C73" s="680"/>
    </row>
    <row r="74" spans="2:3">
      <c r="B74" s="680"/>
      <c r="C74" s="680"/>
    </row>
    <row r="75" spans="2:3">
      <c r="B75" s="680"/>
      <c r="C75" s="680"/>
    </row>
    <row r="76" spans="2:3">
      <c r="B76" s="680"/>
      <c r="C76" s="680"/>
    </row>
    <row r="77" spans="2:3">
      <c r="B77" s="680"/>
      <c r="C77" s="680"/>
    </row>
    <row r="78" spans="2:3">
      <c r="B78" s="680"/>
      <c r="C78" s="680"/>
    </row>
    <row r="79" spans="2:3">
      <c r="B79" s="680"/>
      <c r="C79" s="680"/>
    </row>
    <row r="80" spans="2:3">
      <c r="B80" s="680"/>
      <c r="C80" s="680"/>
    </row>
    <row r="81" spans="2:3">
      <c r="B81" s="680"/>
      <c r="C81" s="680"/>
    </row>
    <row r="82" spans="2:3">
      <c r="B82" s="680"/>
      <c r="C82" s="680"/>
    </row>
    <row r="83" spans="2:3">
      <c r="B83" s="680"/>
      <c r="C83" s="680"/>
    </row>
    <row r="84" spans="2:3">
      <c r="B84" s="680"/>
      <c r="C84" s="680"/>
    </row>
    <row r="85" spans="2:3">
      <c r="B85" s="680"/>
      <c r="C85" s="680"/>
    </row>
    <row r="86" spans="2:3">
      <c r="B86" s="680"/>
      <c r="C86" s="680"/>
    </row>
    <row r="87" spans="2:3">
      <c r="B87" s="680"/>
      <c r="C87" s="680"/>
    </row>
    <row r="88" spans="2:3">
      <c r="B88" s="680"/>
      <c r="C88" s="680"/>
    </row>
    <row r="89" spans="2:3">
      <c r="B89" s="680"/>
      <c r="C89" s="680"/>
    </row>
    <row r="90" spans="2:3">
      <c r="B90" s="680"/>
      <c r="C90" s="680"/>
    </row>
    <row r="91" spans="2:3">
      <c r="B91" s="680"/>
      <c r="C91" s="680"/>
    </row>
    <row r="92" spans="2:3" hidden="1">
      <c r="B92" s="680"/>
      <c r="C92" s="680"/>
    </row>
    <row r="93" spans="2:3" hidden="1">
      <c r="B93" s="680"/>
      <c r="C93" s="680"/>
    </row>
    <row r="94" spans="2:3" hidden="1">
      <c r="B94" s="680"/>
      <c r="C94" s="680"/>
    </row>
    <row r="95" spans="2:3">
      <c r="B95" s="680"/>
      <c r="C95" s="680"/>
    </row>
    <row r="96" spans="2:3">
      <c r="B96" s="680"/>
      <c r="C96" s="680"/>
    </row>
    <row r="97" spans="2:3">
      <c r="B97" s="680"/>
      <c r="C97" s="680"/>
    </row>
    <row r="98" spans="2:3">
      <c r="B98" s="680"/>
      <c r="C98" s="680"/>
    </row>
    <row r="99" spans="2:3">
      <c r="B99" s="680"/>
      <c r="C99" s="680"/>
    </row>
    <row r="100" spans="2:3">
      <c r="B100" s="680"/>
      <c r="C100" s="680"/>
    </row>
    <row r="101" spans="2:3">
      <c r="B101" s="680"/>
      <c r="C101" s="680"/>
    </row>
    <row r="102" spans="2:3">
      <c r="B102" s="680"/>
      <c r="C102" s="680"/>
    </row>
    <row r="103" spans="2:3">
      <c r="B103" s="680"/>
      <c r="C103" s="680"/>
    </row>
    <row r="104" spans="2:3">
      <c r="B104" s="680"/>
      <c r="C104" s="680"/>
    </row>
    <row r="105" spans="2:3">
      <c r="B105" s="680"/>
      <c r="C105" s="680"/>
    </row>
    <row r="106" spans="2:3">
      <c r="B106" s="680"/>
      <c r="C106" s="680"/>
    </row>
    <row r="107" spans="2:3">
      <c r="B107" s="680"/>
      <c r="C107" s="680"/>
    </row>
    <row r="108" spans="2:3">
      <c r="B108" s="680"/>
      <c r="C108" s="680"/>
    </row>
    <row r="109" spans="2:3">
      <c r="B109" s="680"/>
      <c r="C109" s="680"/>
    </row>
    <row r="110" spans="2:3">
      <c r="B110" s="680"/>
      <c r="C110" s="680"/>
    </row>
    <row r="111" spans="2:3">
      <c r="B111" s="680"/>
      <c r="C111" s="680"/>
    </row>
    <row r="112" spans="2:3">
      <c r="B112" s="680"/>
      <c r="C112" s="680"/>
    </row>
    <row r="113" spans="2:3">
      <c r="B113" s="680"/>
      <c r="C113" s="680"/>
    </row>
    <row r="114" spans="2:3">
      <c r="B114" s="680"/>
      <c r="C114" s="680"/>
    </row>
    <row r="115" spans="2:3">
      <c r="B115" s="680"/>
      <c r="C115" s="680"/>
    </row>
    <row r="116" spans="2:3">
      <c r="B116" s="680"/>
      <c r="C116" s="680"/>
    </row>
    <row r="117" spans="2:3">
      <c r="B117" s="680"/>
      <c r="C117" s="680"/>
    </row>
    <row r="118" spans="2:3">
      <c r="B118" s="680"/>
      <c r="C118" s="680"/>
    </row>
    <row r="119" spans="2:3">
      <c r="B119" s="680"/>
      <c r="C119" s="680"/>
    </row>
    <row r="120" spans="2:3">
      <c r="B120" s="680"/>
      <c r="C120" s="680"/>
    </row>
    <row r="121" spans="2:3">
      <c r="B121" s="680"/>
      <c r="C121" s="680"/>
    </row>
    <row r="122" spans="2:3">
      <c r="B122" s="680"/>
      <c r="C122" s="680"/>
    </row>
    <row r="123" spans="2:3">
      <c r="B123" s="680"/>
      <c r="C123" s="680"/>
    </row>
    <row r="124" spans="2:3">
      <c r="B124" s="680"/>
      <c r="C124" s="680"/>
    </row>
    <row r="125" spans="2:3">
      <c r="B125" s="680"/>
      <c r="C125" s="680"/>
    </row>
    <row r="126" spans="2:3">
      <c r="B126" s="680"/>
      <c r="C126" s="680"/>
    </row>
    <row r="127" spans="2:3">
      <c r="B127" s="680"/>
      <c r="C127" s="680"/>
    </row>
    <row r="128" spans="2:3">
      <c r="B128" s="680"/>
      <c r="C128" s="680"/>
    </row>
    <row r="129" spans="2:3">
      <c r="B129" s="680"/>
      <c r="C129" s="680"/>
    </row>
    <row r="130" spans="2:3">
      <c r="B130" s="680"/>
      <c r="C130" s="680"/>
    </row>
    <row r="131" spans="2:3">
      <c r="B131" s="680"/>
      <c r="C131" s="680"/>
    </row>
    <row r="132" spans="2:3">
      <c r="B132" s="680"/>
      <c r="C132" s="680"/>
    </row>
    <row r="133" spans="2:3">
      <c r="B133" s="680"/>
      <c r="C133" s="680"/>
    </row>
    <row r="134" spans="2:3">
      <c r="B134" s="680"/>
      <c r="C134" s="680"/>
    </row>
    <row r="135" spans="2:3">
      <c r="B135" s="680"/>
      <c r="C135" s="680"/>
    </row>
    <row r="136" spans="2:3">
      <c r="B136" s="680"/>
      <c r="C136" s="680"/>
    </row>
    <row r="137" spans="2:3">
      <c r="B137" s="680"/>
      <c r="C137" s="680"/>
    </row>
    <row r="138" spans="2:3">
      <c r="B138" s="680"/>
      <c r="C138" s="680"/>
    </row>
    <row r="139" spans="2:3">
      <c r="B139" s="680"/>
      <c r="C139" s="680"/>
    </row>
    <row r="140" spans="2:3">
      <c r="B140" s="680"/>
      <c r="C140" s="680"/>
    </row>
    <row r="141" spans="2:3">
      <c r="B141" s="680"/>
      <c r="C141" s="680"/>
    </row>
    <row r="142" spans="2:3">
      <c r="B142" s="680"/>
      <c r="C142" s="680"/>
    </row>
    <row r="143" spans="2:3">
      <c r="B143" s="680"/>
      <c r="C143" s="680"/>
    </row>
    <row r="144" spans="2:3">
      <c r="B144" s="680"/>
      <c r="C144" s="680"/>
    </row>
    <row r="145" spans="2:3">
      <c r="B145" s="680"/>
      <c r="C145" s="680"/>
    </row>
    <row r="146" spans="2:3">
      <c r="B146" s="680"/>
      <c r="C146" s="680"/>
    </row>
    <row r="147" spans="2:3">
      <c r="B147" s="680"/>
      <c r="C147" s="680"/>
    </row>
    <row r="148" spans="2:3">
      <c r="B148" s="680"/>
      <c r="C148" s="680"/>
    </row>
    <row r="149" spans="2:3">
      <c r="B149" s="680"/>
      <c r="C149" s="680"/>
    </row>
    <row r="150" spans="2:3">
      <c r="B150" s="680"/>
      <c r="C150" s="680"/>
    </row>
    <row r="151" spans="2:3">
      <c r="B151" s="680"/>
      <c r="C151" s="680"/>
    </row>
    <row r="152" spans="2:3">
      <c r="B152" s="680"/>
      <c r="C152" s="680"/>
    </row>
    <row r="153" spans="2:3">
      <c r="B153" s="680"/>
      <c r="C153" s="680"/>
    </row>
    <row r="154" spans="2:3">
      <c r="B154" s="680"/>
      <c r="C154" s="680"/>
    </row>
    <row r="155" spans="2:3">
      <c r="B155" s="680"/>
      <c r="C155" s="680"/>
    </row>
    <row r="156" spans="2:3">
      <c r="B156" s="680"/>
      <c r="C156" s="680"/>
    </row>
    <row r="157" spans="2:3">
      <c r="B157" s="680"/>
      <c r="C157" s="680"/>
    </row>
    <row r="158" spans="2:3">
      <c r="B158" s="680"/>
      <c r="C158" s="680"/>
    </row>
    <row r="159" spans="2:3">
      <c r="B159" s="680"/>
      <c r="C159" s="680"/>
    </row>
    <row r="160" spans="2:3">
      <c r="B160" s="680"/>
      <c r="C160" s="680"/>
    </row>
    <row r="161" spans="2:3">
      <c r="B161" s="680"/>
      <c r="C161" s="680"/>
    </row>
    <row r="162" spans="2:3">
      <c r="B162" s="680"/>
      <c r="C162" s="680"/>
    </row>
    <row r="163" spans="2:3">
      <c r="B163" s="680"/>
      <c r="C163" s="680"/>
    </row>
    <row r="164" spans="2:3">
      <c r="B164" s="680"/>
      <c r="C164" s="680"/>
    </row>
    <row r="165" spans="2:3">
      <c r="B165" s="680"/>
      <c r="C165" s="680"/>
    </row>
    <row r="166" spans="2:3">
      <c r="B166" s="680"/>
      <c r="C166" s="680"/>
    </row>
    <row r="167" spans="2:3">
      <c r="B167" s="680"/>
      <c r="C167" s="680"/>
    </row>
    <row r="168" spans="2:3">
      <c r="B168" s="680"/>
      <c r="C168" s="680"/>
    </row>
    <row r="169" spans="2:3">
      <c r="B169" s="680"/>
      <c r="C169" s="680"/>
    </row>
    <row r="170" spans="2:3">
      <c r="B170" s="680"/>
      <c r="C170" s="680"/>
    </row>
    <row r="171" spans="2:3">
      <c r="B171" s="680"/>
      <c r="C171" s="680"/>
    </row>
    <row r="172" spans="2:3">
      <c r="B172" s="680"/>
      <c r="C172" s="680"/>
    </row>
    <row r="173" spans="2:3">
      <c r="B173" s="680"/>
      <c r="C173" s="680"/>
    </row>
    <row r="174" spans="2:3">
      <c r="B174" s="680"/>
      <c r="C174" s="680"/>
    </row>
    <row r="175" spans="2:3">
      <c r="B175" s="680"/>
      <c r="C175" s="680"/>
    </row>
    <row r="176" spans="2:3">
      <c r="B176" s="680"/>
      <c r="C176" s="680"/>
    </row>
    <row r="177" spans="2:3">
      <c r="B177" s="680"/>
      <c r="C177" s="680"/>
    </row>
    <row r="178" spans="2:3">
      <c r="B178" s="680"/>
      <c r="C178" s="680"/>
    </row>
    <row r="179" spans="2:3">
      <c r="B179" s="680"/>
      <c r="C179" s="680"/>
    </row>
    <row r="180" spans="2:3">
      <c r="B180" s="680"/>
      <c r="C180" s="680"/>
    </row>
    <row r="181" spans="2:3">
      <c r="B181" s="680"/>
      <c r="C181" s="680"/>
    </row>
    <row r="182" spans="2:3">
      <c r="B182" s="680"/>
      <c r="C182" s="680"/>
    </row>
    <row r="183" spans="2:3">
      <c r="B183" s="680"/>
      <c r="C183" s="680"/>
    </row>
    <row r="184" spans="2:3">
      <c r="B184" s="680"/>
      <c r="C184" s="680"/>
    </row>
    <row r="185" spans="2:3">
      <c r="B185" s="680"/>
      <c r="C185" s="680"/>
    </row>
    <row r="186" spans="2:3">
      <c r="B186" s="680"/>
      <c r="C186" s="680"/>
    </row>
    <row r="187" spans="2:3">
      <c r="B187" s="680"/>
      <c r="C187" s="680"/>
    </row>
    <row r="188" spans="2:3">
      <c r="B188" s="680"/>
      <c r="C188" s="680"/>
    </row>
    <row r="189" spans="2:3">
      <c r="B189" s="680"/>
      <c r="C189" s="680"/>
    </row>
    <row r="190" spans="2:3">
      <c r="B190" s="680"/>
      <c r="C190" s="680"/>
    </row>
    <row r="191" spans="2:3">
      <c r="B191" s="680"/>
      <c r="C191" s="680"/>
    </row>
    <row r="192" spans="2:3">
      <c r="B192" s="680"/>
      <c r="C192" s="680"/>
    </row>
    <row r="193" spans="2:3">
      <c r="B193" s="680"/>
      <c r="C193" s="680"/>
    </row>
    <row r="194" spans="2:3">
      <c r="B194" s="680"/>
      <c r="C194" s="680"/>
    </row>
    <row r="195" spans="2:3">
      <c r="B195" s="680"/>
      <c r="C195" s="680"/>
    </row>
    <row r="196" spans="2:3">
      <c r="B196" s="680"/>
      <c r="C196" s="680"/>
    </row>
    <row r="197" spans="2:3">
      <c r="B197" s="680"/>
      <c r="C197" s="680"/>
    </row>
    <row r="198" spans="2:3">
      <c r="B198" s="680"/>
      <c r="C198" s="680"/>
    </row>
    <row r="199" spans="2:3">
      <c r="B199" s="680"/>
      <c r="C199" s="680"/>
    </row>
    <row r="200" spans="2:3">
      <c r="B200" s="680"/>
      <c r="C200" s="680"/>
    </row>
    <row r="201" spans="2:3">
      <c r="B201" s="680"/>
      <c r="C201" s="680"/>
    </row>
    <row r="202" spans="2:3">
      <c r="B202" s="680"/>
      <c r="C202" s="680"/>
    </row>
    <row r="203" spans="2:3">
      <c r="B203" s="680"/>
      <c r="C203" s="680"/>
    </row>
    <row r="204" spans="2:3">
      <c r="B204" s="680"/>
      <c r="C204" s="680"/>
    </row>
    <row r="205" spans="2:3">
      <c r="B205" s="680"/>
      <c r="C205" s="680"/>
    </row>
    <row r="206" spans="2:3">
      <c r="B206" s="680"/>
      <c r="C206" s="680"/>
    </row>
    <row r="207" spans="2:3">
      <c r="B207" s="680"/>
      <c r="C207" s="680"/>
    </row>
    <row r="208" spans="2:3">
      <c r="B208" s="680"/>
      <c r="C208" s="680"/>
    </row>
    <row r="209" spans="2:3">
      <c r="B209" s="680"/>
      <c r="C209" s="680"/>
    </row>
    <row r="210" spans="2:3">
      <c r="B210" s="680"/>
      <c r="C210" s="680"/>
    </row>
    <row r="211" spans="2:3">
      <c r="B211" s="680"/>
      <c r="C211" s="680"/>
    </row>
    <row r="212" spans="2:3">
      <c r="B212" s="680"/>
      <c r="C212" s="680"/>
    </row>
    <row r="213" spans="2:3">
      <c r="B213" s="680"/>
      <c r="C213" s="680"/>
    </row>
    <row r="214" spans="2:3">
      <c r="B214" s="680"/>
      <c r="C214" s="680"/>
    </row>
    <row r="215" spans="2:3">
      <c r="B215" s="680"/>
      <c r="C215" s="680"/>
    </row>
    <row r="216" spans="2:3">
      <c r="B216" s="680"/>
      <c r="C216" s="680"/>
    </row>
    <row r="217" spans="2:3">
      <c r="B217" s="680"/>
      <c r="C217" s="680"/>
    </row>
    <row r="218" spans="2:3">
      <c r="B218" s="680"/>
      <c r="C218" s="680"/>
    </row>
    <row r="219" spans="2:3">
      <c r="B219" s="680"/>
      <c r="C219" s="680"/>
    </row>
    <row r="220" spans="2:3">
      <c r="B220" s="680"/>
      <c r="C220" s="680"/>
    </row>
    <row r="221" spans="2:3">
      <c r="B221" s="680"/>
      <c r="C221" s="680"/>
    </row>
    <row r="222" spans="2:3">
      <c r="B222" s="680"/>
      <c r="C222" s="680"/>
    </row>
    <row r="223" spans="2:3">
      <c r="B223" s="680"/>
      <c r="C223" s="680"/>
    </row>
    <row r="224" spans="2:3">
      <c r="B224" s="680"/>
      <c r="C224" s="680"/>
    </row>
    <row r="225" spans="2:3">
      <c r="B225" s="680"/>
      <c r="C225" s="680"/>
    </row>
    <row r="226" spans="2:3">
      <c r="B226" s="680"/>
      <c r="C226" s="680"/>
    </row>
    <row r="227" spans="2:3">
      <c r="B227" s="680"/>
      <c r="C227" s="680"/>
    </row>
    <row r="228" spans="2:3">
      <c r="B228" s="680"/>
      <c r="C228" s="680"/>
    </row>
    <row r="229" spans="2:3">
      <c r="B229" s="680"/>
      <c r="C229" s="680"/>
    </row>
    <row r="230" spans="2:3">
      <c r="B230" s="680"/>
      <c r="C230" s="680"/>
    </row>
    <row r="231" spans="2:3">
      <c r="B231" s="680"/>
      <c r="C231" s="680"/>
    </row>
    <row r="232" spans="2:3">
      <c r="B232" s="680"/>
      <c r="C232" s="680"/>
    </row>
    <row r="233" spans="2:3">
      <c r="B233" s="680"/>
      <c r="C233" s="680"/>
    </row>
    <row r="234" spans="2:3">
      <c r="B234" s="680"/>
      <c r="C234" s="680"/>
    </row>
    <row r="235" spans="2:3">
      <c r="B235" s="680"/>
      <c r="C235" s="680"/>
    </row>
    <row r="236" spans="2:3">
      <c r="B236" s="680"/>
      <c r="C236" s="680"/>
    </row>
    <row r="237" spans="2:3">
      <c r="B237" s="680"/>
      <c r="C237" s="680"/>
    </row>
    <row r="238" spans="2:3">
      <c r="B238" s="680"/>
      <c r="C238" s="680"/>
    </row>
    <row r="239" spans="2:3">
      <c r="B239" s="680"/>
      <c r="C239" s="680"/>
    </row>
    <row r="240" spans="2:3">
      <c r="B240" s="680"/>
      <c r="C240" s="680"/>
    </row>
    <row r="241" spans="2:3">
      <c r="B241" s="680"/>
      <c r="C241" s="680"/>
    </row>
    <row r="242" spans="2:3">
      <c r="B242" s="680"/>
      <c r="C242" s="680"/>
    </row>
    <row r="243" spans="2:3">
      <c r="B243" s="680"/>
      <c r="C243" s="680"/>
    </row>
    <row r="244" spans="2:3">
      <c r="B244" s="680"/>
      <c r="C244" s="680"/>
    </row>
    <row r="245" spans="2:3">
      <c r="B245" s="680"/>
      <c r="C245" s="680"/>
    </row>
    <row r="246" spans="2:3">
      <c r="B246" s="680"/>
      <c r="C246" s="680"/>
    </row>
    <row r="247" spans="2:3">
      <c r="B247" s="680"/>
      <c r="C247" s="680"/>
    </row>
    <row r="248" spans="2:3">
      <c r="B248" s="680"/>
      <c r="C248" s="680"/>
    </row>
    <row r="249" spans="2:3">
      <c r="B249" s="680"/>
      <c r="C249" s="680"/>
    </row>
    <row r="250" spans="2:3">
      <c r="B250" s="680"/>
      <c r="C250" s="680"/>
    </row>
    <row r="251" spans="2:3">
      <c r="B251" s="680"/>
      <c r="C251" s="680"/>
    </row>
    <row r="252" spans="2:3">
      <c r="B252" s="680"/>
      <c r="C252" s="680"/>
    </row>
    <row r="253" spans="2:3">
      <c r="B253" s="680"/>
      <c r="C253" s="680"/>
    </row>
    <row r="254" spans="2:3">
      <c r="B254" s="680"/>
      <c r="C254" s="680"/>
    </row>
    <row r="255" spans="2:3">
      <c r="B255" s="680"/>
      <c r="C255" s="680"/>
    </row>
    <row r="256" spans="2:3">
      <c r="B256" s="680"/>
      <c r="C256" s="680"/>
    </row>
    <row r="257" spans="2:3">
      <c r="B257" s="680"/>
      <c r="C257" s="680"/>
    </row>
    <row r="258" spans="2:3">
      <c r="B258" s="680"/>
      <c r="C258" s="680"/>
    </row>
    <row r="259" spans="2:3">
      <c r="B259" s="680"/>
      <c r="C259" s="680"/>
    </row>
    <row r="260" spans="2:3">
      <c r="B260" s="680"/>
      <c r="C260" s="680"/>
    </row>
    <row r="261" spans="2:3">
      <c r="B261" s="680"/>
      <c r="C261" s="680"/>
    </row>
    <row r="262" spans="2:3">
      <c r="B262" s="680"/>
      <c r="C262" s="680"/>
    </row>
    <row r="263" spans="2:3">
      <c r="B263" s="680"/>
      <c r="C263" s="680"/>
    </row>
    <row r="264" spans="2:3">
      <c r="B264" s="680"/>
      <c r="C264" s="680"/>
    </row>
    <row r="265" spans="2:3">
      <c r="B265" s="680"/>
      <c r="C265" s="680"/>
    </row>
    <row r="266" spans="2:3">
      <c r="B266" s="680"/>
      <c r="C266" s="680"/>
    </row>
    <row r="267" spans="2:3">
      <c r="B267" s="680"/>
      <c r="C267" s="680"/>
    </row>
    <row r="268" spans="2:3">
      <c r="B268" s="680"/>
      <c r="C268" s="680"/>
    </row>
    <row r="269" spans="2:3">
      <c r="B269" s="680"/>
      <c r="C269" s="680"/>
    </row>
    <row r="270" spans="2:3">
      <c r="B270" s="680"/>
      <c r="C270" s="680"/>
    </row>
    <row r="271" spans="2:3">
      <c r="B271" s="680"/>
      <c r="C271" s="680"/>
    </row>
    <row r="272" spans="2:3">
      <c r="B272" s="680"/>
      <c r="C272" s="680"/>
    </row>
    <row r="273" spans="2:3">
      <c r="B273" s="680"/>
      <c r="C273" s="680"/>
    </row>
    <row r="274" spans="2:3">
      <c r="B274" s="680"/>
      <c r="C274" s="680"/>
    </row>
    <row r="275" spans="2:3">
      <c r="B275" s="680"/>
      <c r="C275" s="680"/>
    </row>
    <row r="276" spans="2:3">
      <c r="B276" s="680"/>
      <c r="C276" s="680"/>
    </row>
    <row r="277" spans="2:3">
      <c r="B277" s="680"/>
      <c r="C277" s="680"/>
    </row>
    <row r="278" spans="2:3">
      <c r="B278" s="680"/>
      <c r="C278" s="680"/>
    </row>
    <row r="279" spans="2:3">
      <c r="B279" s="680"/>
      <c r="C279" s="680"/>
    </row>
    <row r="280" spans="2:3">
      <c r="B280" s="680"/>
      <c r="C280" s="680"/>
    </row>
    <row r="281" spans="2:3">
      <c r="B281" s="680"/>
      <c r="C281" s="680"/>
    </row>
    <row r="282" spans="2:3">
      <c r="B282" s="680"/>
      <c r="C282" s="680"/>
    </row>
    <row r="283" spans="2:3">
      <c r="B283" s="680"/>
      <c r="C283" s="680"/>
    </row>
    <row r="284" spans="2:3">
      <c r="B284" s="680"/>
      <c r="C284" s="680"/>
    </row>
    <row r="285" spans="2:3">
      <c r="B285" s="680"/>
      <c r="C285" s="680"/>
    </row>
    <row r="286" spans="2:3">
      <c r="B286" s="680"/>
      <c r="C286" s="680"/>
    </row>
    <row r="287" spans="2:3">
      <c r="B287" s="680"/>
      <c r="C287" s="680"/>
    </row>
    <row r="288" spans="2:3">
      <c r="B288" s="680"/>
      <c r="C288" s="680"/>
    </row>
    <row r="289" spans="2:3">
      <c r="B289" s="680"/>
      <c r="C289" s="680"/>
    </row>
    <row r="290" spans="2:3">
      <c r="B290" s="680"/>
      <c r="C290" s="680"/>
    </row>
    <row r="291" spans="2:3">
      <c r="B291" s="680"/>
      <c r="C291" s="680"/>
    </row>
    <row r="292" spans="2:3">
      <c r="B292" s="680"/>
      <c r="C292" s="680"/>
    </row>
    <row r="293" spans="2:3">
      <c r="B293" s="680"/>
      <c r="C293" s="680"/>
    </row>
    <row r="294" spans="2:3">
      <c r="B294" s="680"/>
      <c r="C294" s="680"/>
    </row>
    <row r="295" spans="2:3">
      <c r="B295" s="680"/>
      <c r="C295" s="680"/>
    </row>
    <row r="296" spans="2:3">
      <c r="B296" s="680"/>
      <c r="C296" s="680"/>
    </row>
    <row r="297" spans="2:3">
      <c r="B297" s="680"/>
      <c r="C297" s="680"/>
    </row>
    <row r="298" spans="2:3">
      <c r="B298" s="680"/>
      <c r="C298" s="680"/>
    </row>
    <row r="299" spans="2:3">
      <c r="B299" s="680"/>
      <c r="C299" s="680"/>
    </row>
    <row r="300" spans="2:3">
      <c r="B300" s="680"/>
      <c r="C300" s="680"/>
    </row>
    <row r="301" spans="2:3">
      <c r="B301" s="680"/>
      <c r="C301" s="680"/>
    </row>
    <row r="302" spans="2:3">
      <c r="B302" s="680"/>
      <c r="C302" s="680"/>
    </row>
    <row r="303" spans="2:3">
      <c r="B303" s="680"/>
      <c r="C303" s="680"/>
    </row>
    <row r="304" spans="2:3">
      <c r="B304" s="680"/>
      <c r="C304" s="680"/>
    </row>
    <row r="305" spans="2:3">
      <c r="B305" s="680"/>
      <c r="C305" s="680"/>
    </row>
    <row r="306" spans="2:3">
      <c r="B306" s="680"/>
      <c r="C306" s="680"/>
    </row>
    <row r="307" spans="2:3">
      <c r="B307" s="680"/>
      <c r="C307" s="680"/>
    </row>
    <row r="308" spans="2:3">
      <c r="B308" s="680"/>
      <c r="C308" s="680"/>
    </row>
    <row r="309" spans="2:3">
      <c r="B309" s="680"/>
      <c r="C309" s="680"/>
    </row>
    <row r="310" spans="2:3">
      <c r="B310" s="680"/>
      <c r="C310" s="680"/>
    </row>
    <row r="311" spans="2:3">
      <c r="B311" s="680"/>
      <c r="C311" s="680"/>
    </row>
    <row r="312" spans="2:3">
      <c r="B312" s="680"/>
      <c r="C312" s="680"/>
    </row>
    <row r="313" spans="2:3">
      <c r="B313" s="680"/>
      <c r="C313" s="680"/>
    </row>
    <row r="314" spans="2:3">
      <c r="B314" s="680"/>
      <c r="C314" s="680"/>
    </row>
    <row r="315" spans="2:3">
      <c r="B315" s="680"/>
      <c r="C315" s="680"/>
    </row>
    <row r="316" spans="2:3">
      <c r="B316" s="680"/>
      <c r="C316" s="680"/>
    </row>
    <row r="317" spans="2:3">
      <c r="B317" s="680"/>
      <c r="C317" s="680"/>
    </row>
    <row r="318" spans="2:3">
      <c r="B318" s="680"/>
      <c r="C318" s="680"/>
    </row>
    <row r="319" spans="2:3">
      <c r="B319" s="680"/>
      <c r="C319" s="680"/>
    </row>
    <row r="320" spans="2:3">
      <c r="B320" s="680"/>
      <c r="C320" s="680"/>
    </row>
    <row r="321" spans="2:3">
      <c r="B321" s="680"/>
      <c r="C321" s="680"/>
    </row>
    <row r="322" spans="2:3">
      <c r="C322" s="680"/>
    </row>
    <row r="323" spans="2:3">
      <c r="C323" s="680"/>
    </row>
  </sheetData>
  <pageMargins left="0.45" right="0.45" top="0.5" bottom="0.5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276"/>
  <sheetViews>
    <sheetView zoomScaleNormal="100" workbookViewId="0">
      <pane xSplit="1" ySplit="2" topLeftCell="B15" activePane="bottomRight" state="frozen"/>
      <selection pane="topRight" activeCell="B1" sqref="B1"/>
      <selection pane="bottomLeft" activeCell="A4" sqref="A4"/>
      <selection pane="bottomRight" activeCell="G267" sqref="G267"/>
    </sheetView>
  </sheetViews>
  <sheetFormatPr defaultColWidth="8.8203125" defaultRowHeight="14.35" outlineLevelRow="1" outlineLevelCol="1"/>
  <cols>
    <col min="1" max="1" width="50.46875" style="349" customWidth="1"/>
    <col min="2" max="3" width="21.1171875" style="349" customWidth="1"/>
    <col min="4" max="4" width="15.64453125" style="660" bestFit="1" customWidth="1"/>
    <col min="5" max="5" width="16.46875" style="349" customWidth="1"/>
    <col min="6" max="6" width="13.1171875" style="441" hidden="1" customWidth="1"/>
    <col min="7" max="7" width="13.1171875" style="441" customWidth="1"/>
    <col min="8" max="8" width="10.46875" style="441" bestFit="1" customWidth="1"/>
    <col min="9" max="9" width="11.8203125" style="441" bestFit="1" customWidth="1"/>
    <col min="10" max="10" width="21.1171875" style="441" hidden="1" customWidth="1"/>
    <col min="11" max="11" width="14.46875" style="352" hidden="1" customWidth="1" outlineLevel="1"/>
    <col min="12" max="12" width="14.46875" style="349" hidden="1" customWidth="1" outlineLevel="1"/>
    <col min="13" max="15" width="14.64453125" style="349" hidden="1" customWidth="1" outlineLevel="1"/>
    <col min="16" max="16" width="0.46875" style="349" customWidth="1" outlineLevel="1"/>
    <col min="17" max="17" width="104" style="349" bestFit="1" customWidth="1"/>
    <col min="18" max="18" width="8.8203125" style="349" customWidth="1"/>
    <col min="19" max="19" width="10" style="349" customWidth="1"/>
    <col min="20" max="20" width="2.46875" style="349" customWidth="1"/>
    <col min="21" max="21" width="12" style="349" customWidth="1"/>
    <col min="22" max="22" width="12" style="349" bestFit="1" customWidth="1"/>
    <col min="23" max="16384" width="8.8203125" style="349"/>
  </cols>
  <sheetData>
    <row r="1" spans="1:17" ht="14.7" thickBot="1">
      <c r="A1" s="868" t="s">
        <v>380</v>
      </c>
      <c r="B1" s="869" t="s">
        <v>783</v>
      </c>
      <c r="C1" s="870"/>
      <c r="D1" s="871" t="s">
        <v>830</v>
      </c>
      <c r="E1" s="872"/>
      <c r="F1" s="872"/>
      <c r="G1" s="872"/>
      <c r="H1" s="872"/>
      <c r="I1" s="872"/>
      <c r="J1" s="713"/>
      <c r="K1" s="623" t="s">
        <v>133</v>
      </c>
      <c r="L1" s="356" t="s">
        <v>133</v>
      </c>
      <c r="M1" s="356" t="s">
        <v>134</v>
      </c>
      <c r="N1" s="356" t="s">
        <v>477</v>
      </c>
      <c r="O1" s="356" t="s">
        <v>136</v>
      </c>
      <c r="P1" s="412"/>
      <c r="Q1" s="621" t="s">
        <v>829</v>
      </c>
    </row>
    <row r="2" spans="1:17" ht="43.35" thickTop="1">
      <c r="A2" s="868"/>
      <c r="B2" s="563" t="s">
        <v>784</v>
      </c>
      <c r="C2" s="563" t="s">
        <v>561</v>
      </c>
      <c r="D2" s="622" t="s">
        <v>913</v>
      </c>
      <c r="E2" s="661" t="s">
        <v>941</v>
      </c>
      <c r="F2" s="622" t="s">
        <v>784</v>
      </c>
      <c r="G2" s="727" t="s">
        <v>942</v>
      </c>
      <c r="H2" s="622" t="s">
        <v>832</v>
      </c>
      <c r="I2" s="622" t="s">
        <v>831</v>
      </c>
      <c r="J2" s="622" t="s">
        <v>717</v>
      </c>
      <c r="K2" s="431" t="s">
        <v>695</v>
      </c>
      <c r="L2" s="358" t="s">
        <v>138</v>
      </c>
      <c r="M2" s="358" t="s">
        <v>139</v>
      </c>
      <c r="N2" s="358" t="s">
        <v>140</v>
      </c>
      <c r="O2" s="358" t="s">
        <v>141</v>
      </c>
      <c r="P2" s="413"/>
      <c r="Q2" s="357"/>
    </row>
    <row r="3" spans="1:17">
      <c r="A3" s="868"/>
      <c r="B3" s="358" t="s">
        <v>142</v>
      </c>
      <c r="C3" s="358"/>
      <c r="D3" s="420">
        <v>16</v>
      </c>
      <c r="E3" s="672">
        <v>14</v>
      </c>
      <c r="F3" s="420">
        <f>'Staffing Detail'!U41</f>
        <v>14.5</v>
      </c>
      <c r="G3" s="728">
        <f t="shared" ref="G3:G11" si="0">F3</f>
        <v>14.5</v>
      </c>
      <c r="H3" s="420"/>
      <c r="I3" s="420"/>
      <c r="J3" s="420"/>
      <c r="K3" s="432">
        <f>'Staffing Detail'!L41</f>
        <v>21</v>
      </c>
      <c r="L3" s="359">
        <f>'Staffing Detail'!M41</f>
        <v>29</v>
      </c>
      <c r="M3" s="359">
        <f>'Staffing Detail'!N41</f>
        <v>33</v>
      </c>
      <c r="N3" s="359">
        <f>'Staffing Detail'!O41</f>
        <v>37</v>
      </c>
      <c r="O3" s="359">
        <f>'Staffing Detail'!P41</f>
        <v>41</v>
      </c>
      <c r="P3" s="414"/>
      <c r="Q3" s="357" t="s">
        <v>143</v>
      </c>
    </row>
    <row r="4" spans="1:17">
      <c r="A4" s="868"/>
      <c r="B4" s="360" t="s">
        <v>356</v>
      </c>
      <c r="C4" s="360"/>
      <c r="D4" s="420">
        <v>120</v>
      </c>
      <c r="E4" s="672">
        <v>120</v>
      </c>
      <c r="F4" s="420">
        <f>Enrollment!C11</f>
        <v>120</v>
      </c>
      <c r="G4" s="728">
        <f t="shared" si="0"/>
        <v>120</v>
      </c>
      <c r="H4" s="420"/>
      <c r="I4" s="420"/>
      <c r="J4" s="420"/>
      <c r="K4" s="432">
        <f>Enrollment!C11</f>
        <v>120</v>
      </c>
      <c r="L4" s="359">
        <f>Enrollment!D11</f>
        <v>180</v>
      </c>
      <c r="M4" s="359">
        <f>Enrollment!E11</f>
        <v>240</v>
      </c>
      <c r="N4" s="359">
        <f>Enrollment!F11</f>
        <v>300</v>
      </c>
      <c r="O4" s="359">
        <f>Enrollment!G11</f>
        <v>360</v>
      </c>
      <c r="P4" s="414"/>
      <c r="Q4" s="357"/>
    </row>
    <row r="5" spans="1:17">
      <c r="A5" s="868"/>
      <c r="B5" s="361" t="s">
        <v>782</v>
      </c>
      <c r="C5" s="361"/>
      <c r="D5" s="620">
        <v>106</v>
      </c>
      <c r="E5" s="672">
        <v>111</v>
      </c>
      <c r="F5" s="620">
        <v>106</v>
      </c>
      <c r="G5" s="729">
        <f t="shared" si="0"/>
        <v>106</v>
      </c>
      <c r="H5" s="620"/>
      <c r="I5" s="620"/>
      <c r="J5" s="620"/>
      <c r="K5" s="433">
        <f>ROUND((Enrollment!C11*0.88),0)</f>
        <v>106</v>
      </c>
      <c r="L5" s="362">
        <f>(Enrollment!D11*0.95)</f>
        <v>171</v>
      </c>
      <c r="M5" s="362">
        <f>(Enrollment!E11*0.95)</f>
        <v>228</v>
      </c>
      <c r="N5" s="362">
        <f>(Enrollment!F11*0.95)</f>
        <v>285</v>
      </c>
      <c r="O5" s="362">
        <f>(Enrollment!G11*0.95)</f>
        <v>342</v>
      </c>
      <c r="P5" s="415"/>
      <c r="Q5" s="357" t="s">
        <v>828</v>
      </c>
    </row>
    <row r="6" spans="1:17" ht="28.7">
      <c r="A6" s="868"/>
      <c r="B6" s="361" t="s">
        <v>144</v>
      </c>
      <c r="C6" s="361"/>
      <c r="D6" s="420">
        <v>4</v>
      </c>
      <c r="E6" s="672">
        <v>1</v>
      </c>
      <c r="F6" s="420">
        <f>Enrollment!M11</f>
        <v>1</v>
      </c>
      <c r="G6" s="728">
        <f t="shared" si="0"/>
        <v>1</v>
      </c>
      <c r="H6" s="420"/>
      <c r="I6" s="420"/>
      <c r="J6" s="420"/>
      <c r="K6" s="443">
        <f>Enrollment!M11</f>
        <v>1</v>
      </c>
      <c r="L6" s="359">
        <f>Enrollment!N11</f>
        <v>5.3999999999999995</v>
      </c>
      <c r="M6" s="359">
        <f>Enrollment!O11</f>
        <v>7.2</v>
      </c>
      <c r="N6" s="359">
        <f>Enrollment!P11</f>
        <v>9</v>
      </c>
      <c r="O6" s="359">
        <f>Enrollment!Q11</f>
        <v>10.8</v>
      </c>
      <c r="P6" s="414"/>
      <c r="Q6" s="357"/>
    </row>
    <row r="7" spans="1:17" ht="28.7">
      <c r="A7" s="868"/>
      <c r="B7" s="361" t="s">
        <v>145</v>
      </c>
      <c r="C7" s="361"/>
      <c r="D7" s="420">
        <v>11</v>
      </c>
      <c r="E7" s="672">
        <v>10</v>
      </c>
      <c r="F7" s="420">
        <f>Enrollment!M21</f>
        <v>10</v>
      </c>
      <c r="G7" s="728">
        <f t="shared" si="0"/>
        <v>10</v>
      </c>
      <c r="H7" s="420"/>
      <c r="I7" s="420"/>
      <c r="J7" s="420"/>
      <c r="K7" s="443">
        <f>Enrollment!M21</f>
        <v>10</v>
      </c>
      <c r="L7" s="359">
        <f>Enrollment!N21</f>
        <v>3.6000000000000005</v>
      </c>
      <c r="M7" s="359">
        <f>Enrollment!O21</f>
        <v>4.8000000000000007</v>
      </c>
      <c r="N7" s="359">
        <f>Enrollment!P21</f>
        <v>6.0000000000000018</v>
      </c>
      <c r="O7" s="359">
        <f>Enrollment!Q21</f>
        <v>7.2000000000000011</v>
      </c>
      <c r="P7" s="414"/>
      <c r="Q7" s="357"/>
    </row>
    <row r="8" spans="1:17">
      <c r="A8" s="868"/>
      <c r="B8" s="361" t="s">
        <v>146</v>
      </c>
      <c r="C8" s="361"/>
      <c r="D8" s="421">
        <v>0.8</v>
      </c>
      <c r="E8" s="672"/>
      <c r="F8" s="421">
        <v>0.8</v>
      </c>
      <c r="G8" s="730">
        <f t="shared" si="0"/>
        <v>0.8</v>
      </c>
      <c r="H8" s="421"/>
      <c r="I8" s="421"/>
      <c r="J8" s="421"/>
      <c r="K8" s="434">
        <v>0.8</v>
      </c>
      <c r="L8" s="363">
        <v>0.87</v>
      </c>
      <c r="M8" s="363">
        <v>0.87</v>
      </c>
      <c r="N8" s="363">
        <v>0.87</v>
      </c>
      <c r="O8" s="363">
        <v>0.87</v>
      </c>
      <c r="P8" s="416"/>
      <c r="Q8" s="357"/>
    </row>
    <row r="9" spans="1:17">
      <c r="A9" s="868"/>
      <c r="B9" s="361" t="s">
        <v>147</v>
      </c>
      <c r="C9" s="361"/>
      <c r="D9" s="579">
        <v>16154</v>
      </c>
      <c r="E9" s="672"/>
      <c r="F9" s="579">
        <v>16154</v>
      </c>
      <c r="G9" s="731">
        <f t="shared" si="0"/>
        <v>16154</v>
      </c>
      <c r="H9" s="579"/>
      <c r="I9" s="579"/>
      <c r="J9" s="579"/>
      <c r="K9" s="435">
        <f>F9</f>
        <v>16154</v>
      </c>
      <c r="L9" s="364">
        <f>F9*1.01</f>
        <v>16315.54</v>
      </c>
      <c r="M9" s="364">
        <f t="shared" ref="M9:O9" si="1">L9*1.01</f>
        <v>16478.695400000001</v>
      </c>
      <c r="N9" s="364">
        <f t="shared" si="1"/>
        <v>16643.482354</v>
      </c>
      <c r="O9" s="364">
        <f t="shared" si="1"/>
        <v>16809.917177539999</v>
      </c>
      <c r="P9" s="417"/>
      <c r="Q9" s="357"/>
    </row>
    <row r="10" spans="1:17" ht="28.7">
      <c r="A10" s="868"/>
      <c r="B10" s="361" t="s">
        <v>148</v>
      </c>
      <c r="C10" s="361"/>
      <c r="D10" s="579">
        <v>10390</v>
      </c>
      <c r="E10" s="672"/>
      <c r="F10" s="579">
        <v>10390</v>
      </c>
      <c r="G10" s="731">
        <f t="shared" si="0"/>
        <v>10390</v>
      </c>
      <c r="H10" s="579"/>
      <c r="I10" s="579"/>
      <c r="J10" s="579"/>
      <c r="K10" s="435">
        <v>10390</v>
      </c>
      <c r="L10" s="364">
        <v>10390</v>
      </c>
      <c r="M10" s="364">
        <v>10390</v>
      </c>
      <c r="N10" s="364">
        <v>10390</v>
      </c>
      <c r="O10" s="364">
        <v>10390</v>
      </c>
      <c r="P10" s="417"/>
      <c r="Q10" s="357" t="s">
        <v>149</v>
      </c>
    </row>
    <row r="11" spans="1:17" ht="28.7">
      <c r="A11" s="868"/>
      <c r="B11" s="361" t="s">
        <v>150</v>
      </c>
      <c r="C11" s="361"/>
      <c r="D11" s="579">
        <v>19049</v>
      </c>
      <c r="E11" s="672"/>
      <c r="F11" s="579">
        <v>19049</v>
      </c>
      <c r="G11" s="731">
        <f t="shared" si="0"/>
        <v>19049</v>
      </c>
      <c r="H11" s="579"/>
      <c r="I11" s="579"/>
      <c r="J11" s="579"/>
      <c r="K11" s="435">
        <v>19049</v>
      </c>
      <c r="L11" s="364">
        <v>19049</v>
      </c>
      <c r="M11" s="364">
        <v>19049</v>
      </c>
      <c r="N11" s="364">
        <v>19049</v>
      </c>
      <c r="O11" s="364">
        <v>19049</v>
      </c>
      <c r="P11" s="417"/>
      <c r="Q11" s="357" t="s">
        <v>149</v>
      </c>
    </row>
    <row r="12" spans="1:17">
      <c r="A12" s="365" t="s">
        <v>151</v>
      </c>
      <c r="B12" s="366">
        <f t="shared" ref="B12:G12" si="2">B53</f>
        <v>762054</v>
      </c>
      <c r="C12" s="366">
        <f t="shared" si="2"/>
        <v>760575</v>
      </c>
      <c r="D12" s="714">
        <f t="shared" si="2"/>
        <v>3138617.8000000003</v>
      </c>
      <c r="E12" s="366">
        <f t="shared" si="2"/>
        <v>605125.4</v>
      </c>
      <c r="F12" s="580">
        <f t="shared" si="2"/>
        <v>3026229.8000000003</v>
      </c>
      <c r="G12" s="580">
        <f t="shared" si="2"/>
        <v>3026229.8000000003</v>
      </c>
      <c r="H12" s="653">
        <f>E12/G12</f>
        <v>0.19996016165064529</v>
      </c>
      <c r="I12" s="580">
        <f>G12-E12</f>
        <v>2421104.4000000004</v>
      </c>
      <c r="J12" s="580"/>
      <c r="K12" s="436">
        <f>K53</f>
        <v>2964701.6</v>
      </c>
      <c r="L12" s="366">
        <f t="shared" ref="L12:O12" si="3">L53</f>
        <v>3828998.94</v>
      </c>
      <c r="M12" s="366">
        <f t="shared" si="3"/>
        <v>5090379.3512000004</v>
      </c>
      <c r="N12" s="366">
        <f t="shared" si="3"/>
        <v>6409939.4708899995</v>
      </c>
      <c r="O12" s="366">
        <f t="shared" si="3"/>
        <v>7748848.8747186791</v>
      </c>
      <c r="P12" s="418"/>
      <c r="Q12" s="367"/>
    </row>
    <row r="13" spans="1:17">
      <c r="A13" s="365" t="s">
        <v>152</v>
      </c>
      <c r="B13" s="366">
        <f t="shared" ref="B13:G13" si="4">B232</f>
        <v>338809</v>
      </c>
      <c r="C13" s="366">
        <f t="shared" si="4"/>
        <v>347413.75999999989</v>
      </c>
      <c r="D13" s="714">
        <f t="shared" si="4"/>
        <v>3811340.4278377299</v>
      </c>
      <c r="E13" s="366">
        <f t="shared" si="4"/>
        <v>701547.34999999986</v>
      </c>
      <c r="F13" s="580">
        <f t="shared" si="4"/>
        <v>3593756.1383039756</v>
      </c>
      <c r="G13" s="580">
        <f t="shared" si="4"/>
        <v>3548928.4783039754</v>
      </c>
      <c r="H13" s="653">
        <f>E13/G13</f>
        <v>0.19767863857748627</v>
      </c>
      <c r="I13" s="580">
        <f>G13-E13</f>
        <v>2847381.1283039758</v>
      </c>
      <c r="J13" s="580"/>
      <c r="K13" s="436">
        <f>K232</f>
        <v>3584292.2025592909</v>
      </c>
      <c r="L13" s="366">
        <f t="shared" ref="L13:O13" si="5">L232</f>
        <v>3183830.5120222778</v>
      </c>
      <c r="M13" s="366">
        <f t="shared" si="5"/>
        <v>3325949.2291237488</v>
      </c>
      <c r="N13" s="366">
        <f t="shared" si="5"/>
        <v>3429745.5837382637</v>
      </c>
      <c r="O13" s="366">
        <f t="shared" si="5"/>
        <v>3540134.3049912127</v>
      </c>
      <c r="P13" s="418"/>
      <c r="Q13" s="367"/>
    </row>
    <row r="14" spans="1:17">
      <c r="A14" s="365" t="s">
        <v>153</v>
      </c>
      <c r="B14" s="366">
        <f t="shared" ref="B14:F14" si="6">B12-B13</f>
        <v>423245</v>
      </c>
      <c r="C14" s="366">
        <f t="shared" ref="C14:E14" si="7">C12-C13</f>
        <v>413161.24000000011</v>
      </c>
      <c r="D14" s="714">
        <f t="shared" ref="D14" si="8">D12-D13</f>
        <v>-672722.62783772964</v>
      </c>
      <c r="E14" s="366">
        <f t="shared" si="7"/>
        <v>-96421.949999999837</v>
      </c>
      <c r="F14" s="777">
        <f t="shared" si="6"/>
        <v>-567526.3383039753</v>
      </c>
      <c r="G14" s="777">
        <f t="shared" ref="G14" si="9">G12-G13</f>
        <v>-522698.67830397515</v>
      </c>
      <c r="H14" s="653">
        <f>E14/G14</f>
        <v>0.18446947352701301</v>
      </c>
      <c r="I14" s="777">
        <f>I12-I13</f>
        <v>-426276.72830397543</v>
      </c>
      <c r="J14" s="580"/>
      <c r="K14" s="436">
        <f>K12-K13</f>
        <v>-619590.60255929083</v>
      </c>
      <c r="L14" s="366">
        <f t="shared" ref="L14:O14" si="10">L12-L13</f>
        <v>645168.42797772214</v>
      </c>
      <c r="M14" s="366">
        <f t="shared" si="10"/>
        <v>1764430.1220762515</v>
      </c>
      <c r="N14" s="366">
        <f t="shared" si="10"/>
        <v>2980193.8871517358</v>
      </c>
      <c r="O14" s="366">
        <f t="shared" si="10"/>
        <v>4208714.5697274664</v>
      </c>
      <c r="P14" s="418"/>
      <c r="Q14" s="367"/>
    </row>
    <row r="15" spans="1:17">
      <c r="A15" s="368" t="s">
        <v>154</v>
      </c>
      <c r="B15" s="369">
        <f t="shared" ref="B15:G15" si="11">B262</f>
        <v>120516.5</v>
      </c>
      <c r="C15" s="369">
        <f t="shared" si="11"/>
        <v>276763.62000000011</v>
      </c>
      <c r="D15" s="715">
        <f t="shared" si="11"/>
        <v>200943.65223076963</v>
      </c>
      <c r="E15" s="369">
        <f t="shared" si="11"/>
        <v>26108.490000000165</v>
      </c>
      <c r="F15" s="581">
        <f t="shared" si="11"/>
        <v>200924.41795500019</v>
      </c>
      <c r="G15" s="581">
        <f t="shared" si="11"/>
        <v>73717.45795500034</v>
      </c>
      <c r="H15" s="654">
        <f>E15/G15</f>
        <v>0.35416970042479873</v>
      </c>
      <c r="I15" s="778">
        <f>G15-E15</f>
        <v>47608.967955000175</v>
      </c>
      <c r="J15" s="581"/>
      <c r="K15" s="437">
        <f>K262</f>
        <v>239566.15369968466</v>
      </c>
      <c r="L15" s="369">
        <f t="shared" ref="L15:O15" si="12">L262</f>
        <v>1327106.63661765</v>
      </c>
      <c r="M15" s="369">
        <f t="shared" si="12"/>
        <v>2196368.3307161797</v>
      </c>
      <c r="N15" s="369">
        <f t="shared" si="12"/>
        <v>3162132.095791664</v>
      </c>
      <c r="O15" s="369">
        <f t="shared" si="12"/>
        <v>4140652.7783673946</v>
      </c>
      <c r="P15" s="418"/>
      <c r="Q15" s="370" t="s">
        <v>472</v>
      </c>
    </row>
    <row r="16" spans="1:17">
      <c r="A16" s="371" t="s">
        <v>461</v>
      </c>
      <c r="B16" s="372"/>
      <c r="C16" s="372"/>
      <c r="D16" s="718"/>
      <c r="E16" s="423"/>
      <c r="F16" s="582"/>
      <c r="G16" s="732"/>
      <c r="H16" s="582"/>
      <c r="I16" s="582"/>
      <c r="J16" s="582"/>
      <c r="K16" s="423"/>
      <c r="L16" s="372"/>
      <c r="M16" s="372"/>
      <c r="N16" s="372"/>
      <c r="O16" s="372"/>
      <c r="P16" s="372"/>
      <c r="Q16" s="373"/>
    </row>
    <row r="17" spans="1:17">
      <c r="A17" s="371" t="s">
        <v>1</v>
      </c>
      <c r="B17" s="371"/>
      <c r="C17" s="371"/>
      <c r="D17" s="719"/>
      <c r="E17" s="662"/>
      <c r="F17" s="583"/>
      <c r="G17" s="733"/>
      <c r="H17" s="583"/>
      <c r="I17" s="583"/>
      <c r="J17" s="583"/>
      <c r="K17" s="424"/>
      <c r="L17" s="350"/>
      <c r="M17" s="350"/>
      <c r="N17" s="350"/>
      <c r="O17" s="350"/>
      <c r="P17" s="350"/>
      <c r="Q17" s="350"/>
    </row>
    <row r="18" spans="1:17">
      <c r="A18" s="371" t="s">
        <v>2</v>
      </c>
      <c r="B18" s="374"/>
      <c r="C18" s="374"/>
      <c r="D18" s="584">
        <v>1712324</v>
      </c>
      <c r="E18" s="664">
        <v>484500</v>
      </c>
      <c r="F18" s="583">
        <f>F5*F9</f>
        <v>1712324</v>
      </c>
      <c r="G18" s="733">
        <f>F18</f>
        <v>1712324</v>
      </c>
      <c r="H18" s="645">
        <f>E18/G18</f>
        <v>0.28294878772942506</v>
      </c>
      <c r="I18" s="583">
        <f>G18-E18</f>
        <v>1227824</v>
      </c>
      <c r="J18" s="583"/>
      <c r="K18" s="442">
        <f>K5*K9</f>
        <v>1712324</v>
      </c>
      <c r="L18" s="374">
        <f>L5*L9</f>
        <v>2789957.3400000003</v>
      </c>
      <c r="M18" s="374">
        <f t="shared" ref="M18:N18" si="13">M5*M9</f>
        <v>3757142.5512000001</v>
      </c>
      <c r="N18" s="374">
        <f t="shared" si="13"/>
        <v>4743392.4708899995</v>
      </c>
      <c r="O18" s="374">
        <f>O5*O9</f>
        <v>5748991.6747186799</v>
      </c>
      <c r="P18" s="374"/>
      <c r="Q18" s="350" t="str">
        <f>TEXT(F9,"$#,##")&amp;"/student"</f>
        <v>$16,154/student</v>
      </c>
    </row>
    <row r="19" spans="1:17">
      <c r="A19" s="371" t="s">
        <v>3</v>
      </c>
      <c r="B19" s="374"/>
      <c r="C19" s="374"/>
      <c r="D19" s="584">
        <v>251099</v>
      </c>
      <c r="E19" s="664">
        <v>24070.9</v>
      </c>
      <c r="F19" s="583">
        <f>(F6*F10)+(F7*F11)</f>
        <v>200880</v>
      </c>
      <c r="G19" s="733">
        <f t="shared" ref="G19:G26" si="14">F19</f>
        <v>200880</v>
      </c>
      <c r="H19" s="645">
        <f t="shared" ref="H19:H26" si="15">E19/G19</f>
        <v>0.11982726005575468</v>
      </c>
      <c r="I19" s="583">
        <f>G19-E19</f>
        <v>176809.1</v>
      </c>
      <c r="J19" s="583"/>
      <c r="K19" s="425">
        <f t="shared" ref="K19" si="16">(K6*K10)+(K7*K11)</f>
        <v>200880</v>
      </c>
      <c r="L19" s="374">
        <f t="shared" ref="L19:O19" si="17">(L6*L10)+(L7*L11)</f>
        <v>124682.4</v>
      </c>
      <c r="M19" s="374">
        <f t="shared" si="17"/>
        <v>166243.20000000001</v>
      </c>
      <c r="N19" s="374">
        <f t="shared" si="17"/>
        <v>207804.00000000003</v>
      </c>
      <c r="O19" s="374">
        <f t="shared" si="17"/>
        <v>249364.80000000005</v>
      </c>
      <c r="P19" s="374"/>
      <c r="Q19" s="353" t="str">
        <f>"Based on "&amp;Enrollment!M11&amp;" - 20-60 students and "&amp;Enrollment!M21&amp;" - 60+ students"</f>
        <v>Based on 1 - 20-60 students and 10 - 60+ students</v>
      </c>
    </row>
    <row r="20" spans="1:17">
      <c r="A20" s="375" t="s">
        <v>219</v>
      </c>
      <c r="B20" s="374"/>
      <c r="C20" s="374"/>
      <c r="D20" s="584">
        <v>513697.19999999995</v>
      </c>
      <c r="E20" s="664">
        <v>93750</v>
      </c>
      <c r="F20" s="583">
        <f>MIN(F221,F18*0.3)-125000</f>
        <v>388697.19999999995</v>
      </c>
      <c r="G20" s="733">
        <f t="shared" si="14"/>
        <v>388697.19999999995</v>
      </c>
      <c r="H20" s="645">
        <f>E20/G20</f>
        <v>0.24119031472313154</v>
      </c>
      <c r="I20" s="583">
        <f t="shared" ref="I20:I26" si="18">G20-E20</f>
        <v>294947.19999999995</v>
      </c>
      <c r="J20" s="583"/>
      <c r="K20" s="425">
        <f>375000+26000</f>
        <v>401000</v>
      </c>
      <c r="L20" s="374">
        <f>MIN(L221,L18*0.3)</f>
        <v>750000</v>
      </c>
      <c r="M20" s="374">
        <f t="shared" ref="M20:N20" si="19">MIN(M221,M18*0.3)</f>
        <v>1000000</v>
      </c>
      <c r="N20" s="374">
        <f t="shared" si="19"/>
        <v>1250000</v>
      </c>
      <c r="O20" s="374">
        <f>MIN(O221,O18*0.3)</f>
        <v>1500000</v>
      </c>
      <c r="P20" s="374"/>
      <c r="Q20" s="350" t="s">
        <v>167</v>
      </c>
    </row>
    <row r="21" spans="1:17">
      <c r="A21" s="371" t="s">
        <v>4</v>
      </c>
      <c r="B21" s="374"/>
      <c r="C21" s="374"/>
      <c r="D21" s="584">
        <v>6990</v>
      </c>
      <c r="E21" s="664"/>
      <c r="F21" s="583">
        <f>58.25*F4</f>
        <v>6990</v>
      </c>
      <c r="G21" s="733">
        <f t="shared" si="14"/>
        <v>6990</v>
      </c>
      <c r="H21" s="645">
        <f t="shared" si="15"/>
        <v>0</v>
      </c>
      <c r="I21" s="583">
        <f t="shared" si="18"/>
        <v>6990</v>
      </c>
      <c r="J21" s="583"/>
      <c r="K21" s="425">
        <f t="shared" ref="K21" si="20">58.25*K4</f>
        <v>6990</v>
      </c>
      <c r="L21" s="374">
        <f t="shared" ref="L21:O21" si="21">58.25*L4</f>
        <v>10485</v>
      </c>
      <c r="M21" s="374">
        <f t="shared" si="21"/>
        <v>13980</v>
      </c>
      <c r="N21" s="374">
        <f t="shared" si="21"/>
        <v>17475</v>
      </c>
      <c r="O21" s="374">
        <f t="shared" si="21"/>
        <v>20970</v>
      </c>
      <c r="P21" s="374"/>
      <c r="Q21" s="350" t="s">
        <v>169</v>
      </c>
    </row>
    <row r="22" spans="1:17">
      <c r="A22" s="371" t="s">
        <v>5</v>
      </c>
      <c r="B22" s="374"/>
      <c r="C22" s="374"/>
      <c r="D22" s="584">
        <v>1797.6000000000001</v>
      </c>
      <c r="E22" s="664"/>
      <c r="F22" s="583">
        <f>14.98*F4</f>
        <v>1797.6000000000001</v>
      </c>
      <c r="G22" s="733">
        <f t="shared" si="14"/>
        <v>1797.6000000000001</v>
      </c>
      <c r="H22" s="645">
        <f t="shared" si="15"/>
        <v>0</v>
      </c>
      <c r="I22" s="583">
        <f t="shared" si="18"/>
        <v>1797.6000000000001</v>
      </c>
      <c r="J22" s="583"/>
      <c r="K22" s="425">
        <f t="shared" ref="K22" si="22">14.98*K4</f>
        <v>1797.6000000000001</v>
      </c>
      <c r="L22" s="374">
        <f t="shared" ref="L22:O22" si="23">14.98*L4</f>
        <v>2696.4</v>
      </c>
      <c r="M22" s="374">
        <f t="shared" si="23"/>
        <v>3595.2000000000003</v>
      </c>
      <c r="N22" s="374">
        <f t="shared" si="23"/>
        <v>4494</v>
      </c>
      <c r="O22" s="374">
        <f t="shared" si="23"/>
        <v>5392.8</v>
      </c>
      <c r="P22" s="374"/>
      <c r="Q22" s="350" t="s">
        <v>170</v>
      </c>
    </row>
    <row r="23" spans="1:17">
      <c r="A23" s="371" t="s">
        <v>6</v>
      </c>
      <c r="B23" s="374"/>
      <c r="C23" s="374"/>
      <c r="D23" s="584">
        <v>750</v>
      </c>
      <c r="E23" s="664"/>
      <c r="F23" s="584">
        <f>6.25*F4</f>
        <v>750</v>
      </c>
      <c r="G23" s="734">
        <f t="shared" si="14"/>
        <v>750</v>
      </c>
      <c r="H23" s="645">
        <f t="shared" si="15"/>
        <v>0</v>
      </c>
      <c r="I23" s="584">
        <f t="shared" si="18"/>
        <v>750</v>
      </c>
      <c r="J23" s="584"/>
      <c r="K23" s="425">
        <f t="shared" ref="K23" si="24">6.25*K4</f>
        <v>750</v>
      </c>
      <c r="L23" s="374">
        <f t="shared" ref="L23:O23" si="25">6.25*L4</f>
        <v>1125</v>
      </c>
      <c r="M23" s="374">
        <f t="shared" si="25"/>
        <v>1500</v>
      </c>
      <c r="N23" s="374">
        <f t="shared" si="25"/>
        <v>1875</v>
      </c>
      <c r="O23" s="374">
        <f t="shared" si="25"/>
        <v>2250</v>
      </c>
      <c r="P23" s="374"/>
      <c r="Q23" s="350" t="s">
        <v>171</v>
      </c>
    </row>
    <row r="24" spans="1:17">
      <c r="A24" s="375" t="s">
        <v>222</v>
      </c>
      <c r="B24" s="374"/>
      <c r="C24" s="374"/>
      <c r="D24" s="584"/>
      <c r="E24" s="664"/>
      <c r="F24" s="584"/>
      <c r="G24" s="734"/>
      <c r="H24" s="645"/>
      <c r="I24" s="584"/>
      <c r="J24" s="584"/>
      <c r="K24" s="425"/>
      <c r="L24" s="374">
        <f>F24*(1+Enrollment!D12)</f>
        <v>0</v>
      </c>
      <c r="M24" s="374">
        <f>L24*(1+Enrollment!E12)</f>
        <v>0</v>
      </c>
      <c r="N24" s="374">
        <f>M24*(1+Enrollment!F12)</f>
        <v>0</v>
      </c>
      <c r="O24" s="374">
        <f>N24*(1+Enrollment!G12)</f>
        <v>0</v>
      </c>
      <c r="P24" s="374"/>
      <c r="Q24" s="350" t="s">
        <v>638</v>
      </c>
    </row>
    <row r="25" spans="1:17">
      <c r="A25" s="371" t="s">
        <v>221</v>
      </c>
      <c r="B25" s="374"/>
      <c r="C25" s="374"/>
      <c r="D25" s="584">
        <v>232700</v>
      </c>
      <c r="E25" s="664"/>
      <c r="F25" s="584">
        <f>185000+(450*F5)</f>
        <v>232700</v>
      </c>
      <c r="G25" s="734">
        <f t="shared" si="14"/>
        <v>232700</v>
      </c>
      <c r="H25" s="645">
        <f t="shared" si="15"/>
        <v>0</v>
      </c>
      <c r="I25" s="584">
        <f t="shared" si="18"/>
        <v>232700</v>
      </c>
      <c r="J25" s="584"/>
      <c r="K25" s="425">
        <f>185000+(450*K5)</f>
        <v>232700</v>
      </c>
      <c r="L25" s="374">
        <v>0</v>
      </c>
      <c r="M25" s="374">
        <v>0</v>
      </c>
      <c r="N25" s="374">
        <v>0</v>
      </c>
      <c r="O25" s="374">
        <v>0</v>
      </c>
      <c r="P25" s="374"/>
      <c r="Q25" s="350" t="s">
        <v>168</v>
      </c>
    </row>
    <row r="26" spans="1:17">
      <c r="A26" s="371" t="s">
        <v>220</v>
      </c>
      <c r="B26" s="374"/>
      <c r="C26" s="374"/>
      <c r="D26" s="584">
        <v>19928</v>
      </c>
      <c r="E26" s="664"/>
      <c r="F26" s="584">
        <f>188*F5</f>
        <v>19928</v>
      </c>
      <c r="G26" s="734">
        <f t="shared" si="14"/>
        <v>19928</v>
      </c>
      <c r="H26" s="645">
        <f t="shared" si="15"/>
        <v>0</v>
      </c>
      <c r="I26" s="584">
        <f t="shared" si="18"/>
        <v>19928</v>
      </c>
      <c r="J26" s="584"/>
      <c r="K26" s="424">
        <f>188*F5</f>
        <v>19928</v>
      </c>
      <c r="L26" s="350"/>
      <c r="M26" s="350"/>
      <c r="N26" s="350"/>
      <c r="O26" s="350"/>
      <c r="P26" s="350"/>
      <c r="Q26" s="376" t="s">
        <v>535</v>
      </c>
    </row>
    <row r="27" spans="1:17">
      <c r="A27" s="377" t="s">
        <v>7</v>
      </c>
      <c r="B27" s="565">
        <f t="shared" ref="B27:F27" si="26">(((((((((B17)+(B18))+(B19))+(B20))+(B21))+(B22))+(B23))+(B24))+(B25))+(B26)</f>
        <v>0</v>
      </c>
      <c r="C27" s="565">
        <f t="shared" si="26"/>
        <v>0</v>
      </c>
      <c r="D27" s="565">
        <f t="shared" si="26"/>
        <v>2739285.8000000003</v>
      </c>
      <c r="E27" s="565">
        <f t="shared" si="26"/>
        <v>602320.9</v>
      </c>
      <c r="F27" s="568">
        <f t="shared" si="26"/>
        <v>2564066.8000000003</v>
      </c>
      <c r="G27" s="568">
        <f>SUM(G18:G26)</f>
        <v>2564066.8000000003</v>
      </c>
      <c r="H27" s="646">
        <f t="shared" ref="H27" si="27">E27/F27</f>
        <v>0.23490842750274679</v>
      </c>
      <c r="I27" s="568">
        <f>(((((((((I17)+(I18))+(I19))+(I20))+(I21))+(I22))+(I23))+(I24))+(I25))+(I26)</f>
        <v>1961745.9000000001</v>
      </c>
      <c r="J27" s="568"/>
      <c r="K27" s="426">
        <f t="shared" ref="K27" si="28">(((((((((K17)+(K18))+(K19))+(K20))+(K21))+(K22))+(K23))+(K24))+(K25))+(K26)</f>
        <v>2576369.6</v>
      </c>
      <c r="L27" s="378">
        <f t="shared" ref="L27:O27" si="29">(((((((((L17)+(L18))+(L19))+(L20))+(L21))+(L22))+(L23))+(L24))+(L25))+(L26)</f>
        <v>3678946.14</v>
      </c>
      <c r="M27" s="378">
        <f t="shared" si="29"/>
        <v>4942460.9512</v>
      </c>
      <c r="N27" s="378">
        <f t="shared" si="29"/>
        <v>6225040.4708899995</v>
      </c>
      <c r="O27" s="378">
        <f t="shared" si="29"/>
        <v>7526969.2747186795</v>
      </c>
      <c r="P27" s="378"/>
      <c r="Q27" s="351"/>
    </row>
    <row r="28" spans="1:17">
      <c r="A28" s="371" t="s">
        <v>8</v>
      </c>
      <c r="B28" s="585"/>
      <c r="C28" s="585"/>
      <c r="D28" s="584"/>
      <c r="E28" s="663"/>
      <c r="F28" s="584"/>
      <c r="G28" s="734"/>
      <c r="H28" s="645"/>
      <c r="I28" s="584"/>
      <c r="J28" s="584"/>
      <c r="K28" s="424"/>
      <c r="L28" s="350"/>
      <c r="M28" s="350"/>
      <c r="N28" s="350"/>
      <c r="O28" s="350"/>
      <c r="P28" s="350"/>
      <c r="Q28" s="350"/>
    </row>
    <row r="29" spans="1:17">
      <c r="A29" s="371" t="s">
        <v>9</v>
      </c>
      <c r="B29" s="585"/>
      <c r="C29" s="585"/>
      <c r="D29" s="584">
        <v>11000</v>
      </c>
      <c r="E29" s="663"/>
      <c r="F29" s="584"/>
      <c r="G29" s="734">
        <f t="shared" ref="G29:G35" si="30">F29</f>
        <v>0</v>
      </c>
      <c r="H29" s="645"/>
      <c r="I29" s="584" t="s">
        <v>889</v>
      </c>
      <c r="J29" s="584"/>
      <c r="K29" s="425">
        <v>0</v>
      </c>
      <c r="L29" s="374">
        <f t="shared" ref="L29:O29" si="31">1000*(L7)</f>
        <v>3600.0000000000005</v>
      </c>
      <c r="M29" s="374">
        <f t="shared" si="31"/>
        <v>4800.0000000000009</v>
      </c>
      <c r="N29" s="374">
        <f t="shared" si="31"/>
        <v>6000.0000000000018</v>
      </c>
      <c r="O29" s="374">
        <f t="shared" si="31"/>
        <v>7200.0000000000009</v>
      </c>
      <c r="P29" s="374"/>
      <c r="Q29" s="353" t="s">
        <v>262</v>
      </c>
    </row>
    <row r="30" spans="1:17">
      <c r="A30" s="371" t="s">
        <v>10</v>
      </c>
      <c r="B30" s="585"/>
      <c r="C30" s="585"/>
      <c r="D30" s="584">
        <v>42400.000000000007</v>
      </c>
      <c r="E30" s="663"/>
      <c r="F30" s="584">
        <f>F5*F8*500</f>
        <v>42400.000000000007</v>
      </c>
      <c r="G30" s="734">
        <f t="shared" si="30"/>
        <v>42400.000000000007</v>
      </c>
      <c r="H30" s="645">
        <f t="shared" ref="H30:H35" si="32">E30/G30</f>
        <v>0</v>
      </c>
      <c r="I30" s="584">
        <f t="shared" ref="I30:I35" si="33">G30-E30</f>
        <v>42400.000000000007</v>
      </c>
      <c r="J30" s="584"/>
      <c r="K30" s="425">
        <f t="shared" ref="K30" si="34">K5*K8*500</f>
        <v>42400.000000000007</v>
      </c>
      <c r="L30" s="374">
        <f t="shared" ref="L30:O30" si="35">L5*L8*500</f>
        <v>74385</v>
      </c>
      <c r="M30" s="374">
        <f t="shared" si="35"/>
        <v>99179.999999999985</v>
      </c>
      <c r="N30" s="374">
        <f t="shared" si="35"/>
        <v>123975</v>
      </c>
      <c r="O30" s="374">
        <f t="shared" si="35"/>
        <v>148770</v>
      </c>
      <c r="P30" s="374"/>
      <c r="Q30" s="353" t="s">
        <v>182</v>
      </c>
    </row>
    <row r="31" spans="1:17">
      <c r="A31" s="371" t="s">
        <v>11</v>
      </c>
      <c r="B31" s="585"/>
      <c r="C31" s="585"/>
      <c r="D31" s="584">
        <v>3392.0000000000005</v>
      </c>
      <c r="E31" s="663"/>
      <c r="F31" s="584">
        <f>F5*F8*40</f>
        <v>3392.0000000000005</v>
      </c>
      <c r="G31" s="734">
        <f t="shared" si="30"/>
        <v>3392.0000000000005</v>
      </c>
      <c r="H31" s="645">
        <f t="shared" si="32"/>
        <v>0</v>
      </c>
      <c r="I31" s="584">
        <f t="shared" si="33"/>
        <v>3392.0000000000005</v>
      </c>
      <c r="J31" s="584"/>
      <c r="K31" s="425">
        <f t="shared" ref="K31" si="36">K5*K8*40</f>
        <v>3392.0000000000005</v>
      </c>
      <c r="L31" s="374">
        <f t="shared" ref="L31:O31" si="37">L5*L8*40</f>
        <v>5950.8</v>
      </c>
      <c r="M31" s="374">
        <f t="shared" si="37"/>
        <v>7934.4</v>
      </c>
      <c r="N31" s="374">
        <f t="shared" si="37"/>
        <v>9918</v>
      </c>
      <c r="O31" s="374">
        <f t="shared" si="37"/>
        <v>11901.6</v>
      </c>
      <c r="P31" s="374"/>
      <c r="Q31" s="353" t="s">
        <v>183</v>
      </c>
    </row>
    <row r="32" spans="1:17">
      <c r="A32" s="371" t="s">
        <v>395</v>
      </c>
      <c r="B32" s="586"/>
      <c r="C32" s="586"/>
      <c r="D32" s="584"/>
      <c r="E32" s="663"/>
      <c r="F32" s="584"/>
      <c r="G32" s="734">
        <f t="shared" si="30"/>
        <v>0</v>
      </c>
      <c r="H32" s="645"/>
      <c r="I32" s="584" t="s">
        <v>889</v>
      </c>
      <c r="J32" s="584"/>
      <c r="K32" s="425"/>
      <c r="L32" s="379"/>
      <c r="M32" s="379"/>
      <c r="N32" s="379"/>
      <c r="O32" s="379"/>
      <c r="P32" s="379"/>
      <c r="Q32" s="353" t="s">
        <v>541</v>
      </c>
    </row>
    <row r="33" spans="1:18">
      <c r="A33" s="371" t="s">
        <v>12</v>
      </c>
      <c r="B33" s="585"/>
      <c r="C33" s="585"/>
      <c r="D33" s="584">
        <v>27540</v>
      </c>
      <c r="E33" s="663">
        <v>583.29</v>
      </c>
      <c r="F33" s="584">
        <f>(2550*12)*90%</f>
        <v>27540</v>
      </c>
      <c r="G33" s="734">
        <f t="shared" si="30"/>
        <v>27540</v>
      </c>
      <c r="H33" s="645">
        <f t="shared" si="32"/>
        <v>2.1179738562091502E-2</v>
      </c>
      <c r="I33" s="584">
        <f t="shared" si="33"/>
        <v>26956.71</v>
      </c>
      <c r="J33" s="584"/>
      <c r="K33" s="425">
        <f>(2550*12)*90%</f>
        <v>27540</v>
      </c>
      <c r="L33" s="374">
        <f t="shared" ref="L33:O33" si="38">L4*150</f>
        <v>27000</v>
      </c>
      <c r="M33" s="374">
        <f t="shared" si="38"/>
        <v>36000</v>
      </c>
      <c r="N33" s="374">
        <f t="shared" si="38"/>
        <v>45000</v>
      </c>
      <c r="O33" s="374">
        <f t="shared" si="38"/>
        <v>54000</v>
      </c>
      <c r="P33" s="374"/>
      <c r="Q33" s="353" t="s">
        <v>636</v>
      </c>
    </row>
    <row r="34" spans="1:18">
      <c r="A34" s="371" t="s">
        <v>393</v>
      </c>
      <c r="B34" s="585"/>
      <c r="C34" s="585"/>
      <c r="D34" s="584"/>
      <c r="E34" s="663"/>
      <c r="F34" s="584"/>
      <c r="G34" s="734">
        <f t="shared" si="30"/>
        <v>0</v>
      </c>
      <c r="H34" s="645"/>
      <c r="I34" s="584" t="s">
        <v>889</v>
      </c>
      <c r="J34" s="584"/>
      <c r="K34" s="425"/>
      <c r="L34" s="374">
        <f>F34*(1+Enrollment!D12)</f>
        <v>0</v>
      </c>
      <c r="M34" s="374">
        <f>L34*(1+Enrollment!E12)</f>
        <v>0</v>
      </c>
      <c r="N34" s="374">
        <f>M34*(1+Enrollment!F12)</f>
        <v>0</v>
      </c>
      <c r="O34" s="374">
        <f>N34*(1+Enrollment!G12)</f>
        <v>0</v>
      </c>
      <c r="P34" s="374"/>
      <c r="Q34" s="350" t="s">
        <v>638</v>
      </c>
    </row>
    <row r="35" spans="1:18">
      <c r="A35" s="371" t="s">
        <v>394</v>
      </c>
      <c r="B35" s="564">
        <f>437054</f>
        <v>437054</v>
      </c>
      <c r="C35" s="564">
        <v>426169</v>
      </c>
      <c r="D35" s="587">
        <v>300000</v>
      </c>
      <c r="E35" s="664"/>
      <c r="F35" s="584">
        <v>373831</v>
      </c>
      <c r="G35" s="734">
        <f t="shared" si="30"/>
        <v>373831</v>
      </c>
      <c r="H35" s="645">
        <f t="shared" si="32"/>
        <v>0</v>
      </c>
      <c r="I35" s="584">
        <f t="shared" si="33"/>
        <v>373831</v>
      </c>
      <c r="J35" s="584"/>
      <c r="K35" s="438">
        <f>300000</f>
        <v>300000</v>
      </c>
      <c r="L35" s="374">
        <f>850000-B35-F35</f>
        <v>39115</v>
      </c>
      <c r="M35" s="350"/>
      <c r="N35" s="350"/>
      <c r="O35" s="350"/>
      <c r="P35" s="350"/>
      <c r="Q35" s="353" t="s">
        <v>184</v>
      </c>
      <c r="R35" s="380"/>
    </row>
    <row r="36" spans="1:18">
      <c r="A36" s="377" t="s">
        <v>13</v>
      </c>
      <c r="B36" s="565">
        <f t="shared" ref="B36:F36" si="39">(((((((B28)+(B29))+(B30))+(B31))+(B32))+(B33))+(B34))+(B35)</f>
        <v>437054</v>
      </c>
      <c r="C36" s="565">
        <f t="shared" si="39"/>
        <v>426169</v>
      </c>
      <c r="D36" s="565">
        <f t="shared" si="39"/>
        <v>384332</v>
      </c>
      <c r="E36" s="565">
        <f t="shared" si="39"/>
        <v>583.29</v>
      </c>
      <c r="F36" s="568">
        <f t="shared" si="39"/>
        <v>447163</v>
      </c>
      <c r="G36" s="568">
        <f>SUM(G29:G35)</f>
        <v>447163</v>
      </c>
      <c r="H36" s="646">
        <f t="shared" ref="H36:H54" si="40">E36/F36</f>
        <v>1.3044236665377053E-3</v>
      </c>
      <c r="I36" s="568">
        <f>SUM(I29:I35)</f>
        <v>446579.71</v>
      </c>
      <c r="J36" s="568"/>
      <c r="K36" s="426">
        <f t="shared" ref="K36" si="41">(((((((K28)+(K29))+(K30))+(K31))+(K32))+(K33))+(K34))+(K35)</f>
        <v>373332</v>
      </c>
      <c r="L36" s="378">
        <f t="shared" ref="L36:O36" si="42">(((((((L28)+(L29))+(L30))+(L31))+(L32))+(L33))+(L34))+(L35)</f>
        <v>150050.79999999999</v>
      </c>
      <c r="M36" s="378">
        <f>(((((((M28)+(M29))+(M30))+(M31))+(M32))+(M33))+(M34))+(M35)</f>
        <v>147914.39999999997</v>
      </c>
      <c r="N36" s="378">
        <f t="shared" si="42"/>
        <v>184893</v>
      </c>
      <c r="O36" s="378">
        <f t="shared" si="42"/>
        <v>221871.6</v>
      </c>
      <c r="P36" s="378"/>
      <c r="Q36" s="351"/>
    </row>
    <row r="37" spans="1:18">
      <c r="A37" s="371" t="s">
        <v>14</v>
      </c>
      <c r="B37" s="585"/>
      <c r="C37" s="585"/>
      <c r="D37" s="584"/>
      <c r="E37" s="663"/>
      <c r="F37" s="584"/>
      <c r="G37" s="734"/>
      <c r="H37" s="645"/>
      <c r="I37" s="584"/>
      <c r="J37" s="584"/>
      <c r="K37" s="424"/>
      <c r="L37" s="350"/>
      <c r="M37" s="350"/>
      <c r="N37" s="350"/>
      <c r="O37" s="350"/>
      <c r="P37" s="350"/>
      <c r="Q37" s="350"/>
    </row>
    <row r="38" spans="1:18">
      <c r="A38" s="371" t="s">
        <v>15</v>
      </c>
      <c r="B38" s="585"/>
      <c r="C38" s="585">
        <v>7786</v>
      </c>
      <c r="D38" s="584">
        <v>15000</v>
      </c>
      <c r="E38" s="663">
        <v>2221.19</v>
      </c>
      <c r="F38" s="584">
        <v>15000</v>
      </c>
      <c r="G38" s="734">
        <f t="shared" ref="G38:G39" si="43">F38</f>
        <v>15000</v>
      </c>
      <c r="H38" s="645">
        <f>E38/G38</f>
        <v>0.14807933333333334</v>
      </c>
      <c r="I38" s="584">
        <f t="shared" ref="I38" si="44">F38-E38</f>
        <v>12778.81</v>
      </c>
      <c r="J38" s="584"/>
      <c r="K38" s="424">
        <v>15000</v>
      </c>
      <c r="L38" s="350"/>
      <c r="M38" s="350"/>
      <c r="N38" s="350"/>
      <c r="O38" s="350"/>
      <c r="P38" s="350"/>
      <c r="Q38" s="350" t="s">
        <v>263</v>
      </c>
    </row>
    <row r="39" spans="1:18">
      <c r="A39" s="371" t="s">
        <v>16</v>
      </c>
      <c r="B39" s="585">
        <v>325000</v>
      </c>
      <c r="C39" s="585">
        <v>325000</v>
      </c>
      <c r="D39" s="584"/>
      <c r="E39" s="663"/>
      <c r="F39" s="584"/>
      <c r="G39" s="734">
        <f t="shared" si="43"/>
        <v>0</v>
      </c>
      <c r="H39" s="645"/>
      <c r="I39" s="584"/>
      <c r="J39" s="584"/>
      <c r="K39" s="424"/>
      <c r="L39" s="350"/>
      <c r="M39" s="350"/>
      <c r="N39" s="350"/>
      <c r="O39" s="350"/>
      <c r="P39" s="350"/>
      <c r="Q39" s="350"/>
    </row>
    <row r="40" spans="1:18">
      <c r="A40" s="377" t="s">
        <v>17</v>
      </c>
      <c r="B40" s="565">
        <f t="shared" ref="B40:F40" si="45">B38+B39</f>
        <v>325000</v>
      </c>
      <c r="C40" s="565">
        <f t="shared" si="45"/>
        <v>332786</v>
      </c>
      <c r="D40" s="565">
        <f t="shared" si="45"/>
        <v>15000</v>
      </c>
      <c r="E40" s="565">
        <f t="shared" si="45"/>
        <v>2221.19</v>
      </c>
      <c r="F40" s="568">
        <f t="shared" si="45"/>
        <v>15000</v>
      </c>
      <c r="G40" s="568">
        <f>SUM(G38:G39)</f>
        <v>15000</v>
      </c>
      <c r="H40" s="646">
        <f t="shared" si="40"/>
        <v>0.14807933333333334</v>
      </c>
      <c r="I40" s="568">
        <f>I38+I39</f>
        <v>12778.81</v>
      </c>
      <c r="J40" s="568"/>
      <c r="K40" s="426">
        <f t="shared" ref="K40" si="46">K38+K39</f>
        <v>15000</v>
      </c>
      <c r="L40" s="378">
        <f t="shared" ref="L40:O40" si="47">L38+L39</f>
        <v>0</v>
      </c>
      <c r="M40" s="378">
        <f t="shared" si="47"/>
        <v>0</v>
      </c>
      <c r="N40" s="378">
        <f t="shared" si="47"/>
        <v>0</v>
      </c>
      <c r="O40" s="378">
        <f t="shared" si="47"/>
        <v>0</v>
      </c>
      <c r="P40" s="378"/>
      <c r="Q40" s="351"/>
    </row>
    <row r="41" spans="1:18" outlineLevel="1">
      <c r="A41" s="371" t="s">
        <v>18</v>
      </c>
      <c r="B41" s="585"/>
      <c r="C41" s="585"/>
      <c r="D41" s="584"/>
      <c r="E41" s="663"/>
      <c r="F41" s="584"/>
      <c r="G41" s="734"/>
      <c r="H41" s="645"/>
      <c r="I41" s="584"/>
      <c r="J41" s="584"/>
      <c r="K41" s="425"/>
      <c r="L41" s="374"/>
      <c r="M41" s="374"/>
      <c r="N41" s="374"/>
      <c r="O41" s="374"/>
      <c r="P41" s="374"/>
      <c r="Q41" s="350"/>
    </row>
    <row r="42" spans="1:18" outlineLevel="1">
      <c r="A42" s="371" t="s">
        <v>19</v>
      </c>
      <c r="B42" s="564">
        <v>0</v>
      </c>
      <c r="C42" s="564"/>
      <c r="D42" s="587"/>
      <c r="E42" s="664"/>
      <c r="F42" s="587"/>
      <c r="G42" s="735">
        <f>F42</f>
        <v>0</v>
      </c>
      <c r="H42" s="644"/>
      <c r="I42" s="587"/>
      <c r="J42" s="587"/>
      <c r="K42" s="427">
        <v>0</v>
      </c>
      <c r="L42" s="381">
        <v>1</v>
      </c>
      <c r="M42" s="381">
        <v>2</v>
      </c>
      <c r="N42" s="381">
        <v>3</v>
      </c>
      <c r="O42" s="381">
        <v>4</v>
      </c>
      <c r="P42" s="381"/>
      <c r="Q42" s="350"/>
    </row>
    <row r="43" spans="1:18" outlineLevel="1">
      <c r="A43" s="377" t="s">
        <v>21</v>
      </c>
      <c r="B43" s="565">
        <f>B42</f>
        <v>0</v>
      </c>
      <c r="C43" s="565">
        <f>C42</f>
        <v>0</v>
      </c>
      <c r="D43" s="565">
        <f t="shared" ref="D43:I43" si="48">D42</f>
        <v>0</v>
      </c>
      <c r="E43" s="565">
        <f t="shared" si="48"/>
        <v>0</v>
      </c>
      <c r="F43" s="565">
        <f t="shared" si="48"/>
        <v>0</v>
      </c>
      <c r="G43" s="565">
        <f t="shared" si="48"/>
        <v>0</v>
      </c>
      <c r="H43" s="646"/>
      <c r="I43" s="565">
        <f t="shared" si="48"/>
        <v>0</v>
      </c>
      <c r="J43" s="588"/>
      <c r="K43" s="426">
        <f t="shared" ref="K43" si="49">(K41)+(K42)</f>
        <v>0</v>
      </c>
      <c r="L43" s="378">
        <f t="shared" ref="L43:O43" si="50">(L41)+(L42)</f>
        <v>1</v>
      </c>
      <c r="M43" s="378">
        <f t="shared" si="50"/>
        <v>2</v>
      </c>
      <c r="N43" s="378">
        <f t="shared" si="50"/>
        <v>3</v>
      </c>
      <c r="O43" s="378">
        <f t="shared" si="50"/>
        <v>4</v>
      </c>
      <c r="P43" s="378"/>
      <c r="Q43" s="351"/>
    </row>
    <row r="44" spans="1:18" outlineLevel="1">
      <c r="A44" s="371" t="s">
        <v>396</v>
      </c>
      <c r="B44" s="585"/>
      <c r="C44" s="585"/>
      <c r="D44" s="584"/>
      <c r="E44" s="663"/>
      <c r="F44" s="584"/>
      <c r="G44" s="734"/>
      <c r="H44" s="645"/>
      <c r="I44" s="584"/>
      <c r="J44" s="584"/>
      <c r="K44" s="425"/>
      <c r="L44" s="374"/>
      <c r="M44" s="374"/>
      <c r="N44" s="374"/>
      <c r="O44" s="374"/>
      <c r="P44" s="374"/>
      <c r="Q44" s="350"/>
    </row>
    <row r="45" spans="1:18" outlineLevel="1">
      <c r="A45" s="371" t="s">
        <v>20</v>
      </c>
      <c r="B45" s="564">
        <v>0</v>
      </c>
      <c r="C45" s="564"/>
      <c r="D45" s="587"/>
      <c r="E45" s="664">
        <v>0.02</v>
      </c>
      <c r="F45" s="587">
        <v>0</v>
      </c>
      <c r="G45" s="735">
        <f>F45</f>
        <v>0</v>
      </c>
      <c r="H45" s="644"/>
      <c r="I45" s="587">
        <f>F45-E45</f>
        <v>-0.02</v>
      </c>
      <c r="J45" s="587"/>
      <c r="K45" s="427">
        <v>0</v>
      </c>
      <c r="L45" s="381">
        <v>1</v>
      </c>
      <c r="M45" s="381">
        <v>2</v>
      </c>
      <c r="N45" s="381">
        <v>3</v>
      </c>
      <c r="O45" s="381">
        <v>4</v>
      </c>
      <c r="P45" s="381"/>
      <c r="Q45" s="350"/>
    </row>
    <row r="46" spans="1:18" outlineLevel="1">
      <c r="A46" s="377" t="s">
        <v>397</v>
      </c>
      <c r="B46" s="565">
        <f>B45</f>
        <v>0</v>
      </c>
      <c r="C46" s="565">
        <f>C45</f>
        <v>0</v>
      </c>
      <c r="D46" s="565">
        <f t="shared" ref="D46:I46" si="51">D45</f>
        <v>0</v>
      </c>
      <c r="E46" s="565">
        <f t="shared" si="51"/>
        <v>0.02</v>
      </c>
      <c r="F46" s="565">
        <f t="shared" si="51"/>
        <v>0</v>
      </c>
      <c r="G46" s="565">
        <f t="shared" si="51"/>
        <v>0</v>
      </c>
      <c r="H46" s="646"/>
      <c r="I46" s="565">
        <f t="shared" si="51"/>
        <v>-0.02</v>
      </c>
      <c r="J46" s="588"/>
      <c r="K46" s="426">
        <f t="shared" ref="K46" si="52">(K44)+(K45)</f>
        <v>0</v>
      </c>
      <c r="L46" s="378">
        <f t="shared" ref="L46:O46" si="53">(L44)+(L45)</f>
        <v>1</v>
      </c>
      <c r="M46" s="378">
        <f t="shared" si="53"/>
        <v>2</v>
      </c>
      <c r="N46" s="378">
        <f t="shared" si="53"/>
        <v>3</v>
      </c>
      <c r="O46" s="378">
        <f t="shared" si="53"/>
        <v>4</v>
      </c>
      <c r="P46" s="378"/>
      <c r="Q46" s="351"/>
    </row>
    <row r="47" spans="1:18" outlineLevel="1">
      <c r="A47" s="371" t="s">
        <v>22</v>
      </c>
      <c r="B47" s="585"/>
      <c r="C47" s="585"/>
      <c r="D47" s="584"/>
      <c r="E47" s="663"/>
      <c r="F47" s="584"/>
      <c r="G47" s="734"/>
      <c r="H47" s="645"/>
      <c r="I47" s="584"/>
      <c r="J47" s="584"/>
      <c r="K47" s="425"/>
      <c r="L47" s="374"/>
      <c r="M47" s="374"/>
      <c r="N47" s="374"/>
      <c r="O47" s="374"/>
      <c r="P47" s="374"/>
      <c r="Q47" s="350"/>
    </row>
    <row r="48" spans="1:18" outlineLevel="1">
      <c r="A48" s="371" t="s">
        <v>23</v>
      </c>
      <c r="B48" s="564">
        <v>0</v>
      </c>
      <c r="C48" s="564">
        <v>1620</v>
      </c>
      <c r="D48" s="587"/>
      <c r="E48" s="664"/>
      <c r="F48" s="587"/>
      <c r="G48" s="735">
        <f t="shared" ref="G48:G51" si="54">F48</f>
        <v>0</v>
      </c>
      <c r="H48" s="644"/>
      <c r="I48" s="587">
        <f t="shared" ref="I48:I51" si="55">F48-E48</f>
        <v>0</v>
      </c>
      <c r="J48" s="587"/>
      <c r="K48" s="427">
        <v>0</v>
      </c>
      <c r="L48" s="381">
        <v>0</v>
      </c>
      <c r="M48" s="381">
        <v>0</v>
      </c>
      <c r="N48" s="381">
        <v>0</v>
      </c>
      <c r="O48" s="381">
        <v>0</v>
      </c>
      <c r="P48" s="381"/>
      <c r="Q48" s="350"/>
    </row>
    <row r="49" spans="1:18" outlineLevel="1">
      <c r="A49" s="371" t="s">
        <v>24</v>
      </c>
      <c r="B49" s="564">
        <v>0</v>
      </c>
      <c r="C49" s="564"/>
      <c r="D49" s="587"/>
      <c r="E49" s="664"/>
      <c r="F49" s="587"/>
      <c r="G49" s="735">
        <f t="shared" si="54"/>
        <v>0</v>
      </c>
      <c r="H49" s="644"/>
      <c r="I49" s="587">
        <f t="shared" si="55"/>
        <v>0</v>
      </c>
      <c r="J49" s="587"/>
      <c r="K49" s="427">
        <v>0</v>
      </c>
      <c r="L49" s="381">
        <v>0</v>
      </c>
      <c r="M49" s="381">
        <v>0</v>
      </c>
      <c r="N49" s="381">
        <v>0</v>
      </c>
      <c r="O49" s="381">
        <v>0</v>
      </c>
      <c r="P49" s="381"/>
      <c r="Q49" s="350"/>
    </row>
    <row r="50" spans="1:18" outlineLevel="1">
      <c r="A50" s="371" t="s">
        <v>25</v>
      </c>
      <c r="B50" s="564">
        <v>0</v>
      </c>
      <c r="C50" s="564"/>
      <c r="D50" s="587"/>
      <c r="E50" s="664"/>
      <c r="F50" s="587"/>
      <c r="G50" s="735">
        <f t="shared" si="54"/>
        <v>0</v>
      </c>
      <c r="H50" s="644"/>
      <c r="I50" s="587">
        <f t="shared" si="55"/>
        <v>0</v>
      </c>
      <c r="J50" s="587"/>
      <c r="K50" s="427">
        <v>0</v>
      </c>
      <c r="L50" s="381">
        <v>0</v>
      </c>
      <c r="M50" s="381">
        <v>0</v>
      </c>
      <c r="N50" s="381">
        <v>0</v>
      </c>
      <c r="O50" s="381">
        <v>0</v>
      </c>
      <c r="P50" s="381"/>
      <c r="Q50" s="350"/>
    </row>
    <row r="51" spans="1:18" outlineLevel="1">
      <c r="A51" s="371" t="s">
        <v>26</v>
      </c>
      <c r="B51" s="564">
        <v>0</v>
      </c>
      <c r="C51" s="564"/>
      <c r="D51" s="587"/>
      <c r="E51" s="664"/>
      <c r="F51" s="587"/>
      <c r="G51" s="735">
        <f t="shared" si="54"/>
        <v>0</v>
      </c>
      <c r="H51" s="644"/>
      <c r="I51" s="587">
        <f t="shared" si="55"/>
        <v>0</v>
      </c>
      <c r="J51" s="587"/>
      <c r="K51" s="427">
        <v>0</v>
      </c>
      <c r="L51" s="381">
        <v>0</v>
      </c>
      <c r="M51" s="381">
        <v>0</v>
      </c>
      <c r="N51" s="381">
        <v>0</v>
      </c>
      <c r="O51" s="381">
        <v>0</v>
      </c>
      <c r="P51" s="381"/>
      <c r="Q51" s="350"/>
    </row>
    <row r="52" spans="1:18" outlineLevel="1">
      <c r="A52" s="382" t="s">
        <v>27</v>
      </c>
      <c r="B52" s="624">
        <f>((((B47)+(B48))+(B49))+(B50))+(B51)</f>
        <v>0</v>
      </c>
      <c r="C52" s="624">
        <f t="shared" ref="C52:I52" si="56">((((C47)+(C48))+(C49))+(C50))+(C51)</f>
        <v>1620</v>
      </c>
      <c r="D52" s="624">
        <f t="shared" ref="D52" si="57">((((D47)+(D48))+(D49))+(D50))+(D51)</f>
        <v>0</v>
      </c>
      <c r="E52" s="624">
        <f t="shared" si="56"/>
        <v>0</v>
      </c>
      <c r="F52" s="624">
        <f t="shared" si="56"/>
        <v>0</v>
      </c>
      <c r="G52" s="624">
        <f t="shared" ref="G52" si="58">((((G47)+(G48))+(G49))+(G50))+(G51)</f>
        <v>0</v>
      </c>
      <c r="H52" s="647"/>
      <c r="I52" s="624">
        <f t="shared" si="56"/>
        <v>0</v>
      </c>
      <c r="J52" s="589"/>
      <c r="K52" s="426">
        <f t="shared" ref="K52" si="59">((((K47)+(K48))+(K49))+(K50))+(K51)</f>
        <v>0</v>
      </c>
      <c r="L52" s="383">
        <f t="shared" ref="L52:O52" si="60">((((L47)+(L48))+(L49))+(L50))+(L51)</f>
        <v>0</v>
      </c>
      <c r="M52" s="383">
        <f t="shared" si="60"/>
        <v>0</v>
      </c>
      <c r="N52" s="383">
        <f t="shared" si="60"/>
        <v>0</v>
      </c>
      <c r="O52" s="383">
        <f t="shared" si="60"/>
        <v>0</v>
      </c>
      <c r="P52" s="383"/>
      <c r="Q52" s="384"/>
    </row>
    <row r="53" spans="1:18">
      <c r="A53" s="382" t="s">
        <v>28</v>
      </c>
      <c r="B53" s="590">
        <f t="shared" ref="B53:G53" si="61">(((((B27)+(B36))+(B40))+(B43))+(B46))+(B52)</f>
        <v>762054</v>
      </c>
      <c r="C53" s="590">
        <f t="shared" si="61"/>
        <v>760575</v>
      </c>
      <c r="D53" s="590">
        <f t="shared" si="61"/>
        <v>3138617.8000000003</v>
      </c>
      <c r="E53" s="590">
        <f t="shared" si="61"/>
        <v>605125.4</v>
      </c>
      <c r="F53" s="591">
        <f t="shared" si="61"/>
        <v>3026229.8000000003</v>
      </c>
      <c r="G53" s="591">
        <f t="shared" si="61"/>
        <v>3026229.8000000003</v>
      </c>
      <c r="H53" s="647">
        <f t="shared" si="40"/>
        <v>0.19996016165064529</v>
      </c>
      <c r="I53" s="591">
        <f>(((((I27)+(I36))+(I40))+(I43))+(I46))+(I52)</f>
        <v>2421104.4000000004</v>
      </c>
      <c r="J53" s="591"/>
      <c r="K53" s="426">
        <f t="shared" ref="K53" si="62">(((((K27)+(K36))+(K40))+(K43))+(K46))+(K52)</f>
        <v>2964701.6</v>
      </c>
      <c r="L53" s="383">
        <f t="shared" ref="L53:O53" si="63">(((((L27)+(L36))+(L40))+(L43))+(L46))+(L52)</f>
        <v>3828998.94</v>
      </c>
      <c r="M53" s="383">
        <f t="shared" si="63"/>
        <v>5090379.3512000004</v>
      </c>
      <c r="N53" s="383">
        <f t="shared" si="63"/>
        <v>6409939.4708899995</v>
      </c>
      <c r="O53" s="383">
        <f t="shared" si="63"/>
        <v>7748848.8747186791</v>
      </c>
      <c r="P53" s="383"/>
      <c r="Q53" s="384"/>
    </row>
    <row r="54" spans="1:18">
      <c r="A54" s="371" t="s">
        <v>29</v>
      </c>
      <c r="B54" s="592">
        <f t="shared" ref="B54:G54" si="64">(B53)-(0)</f>
        <v>762054</v>
      </c>
      <c r="C54" s="592">
        <f t="shared" si="64"/>
        <v>760575</v>
      </c>
      <c r="D54" s="717">
        <f t="shared" si="64"/>
        <v>3138617.8000000003</v>
      </c>
      <c r="E54" s="665">
        <f t="shared" si="64"/>
        <v>605125.4</v>
      </c>
      <c r="F54" s="566">
        <f t="shared" si="64"/>
        <v>3026229.8000000003</v>
      </c>
      <c r="G54" s="736">
        <f t="shared" si="64"/>
        <v>3026229.8000000003</v>
      </c>
      <c r="H54" s="648">
        <f t="shared" si="40"/>
        <v>0.19996016165064529</v>
      </c>
      <c r="I54" s="566">
        <f>(I53)-(0)</f>
        <v>2421104.4000000004</v>
      </c>
      <c r="J54" s="566"/>
      <c r="K54" s="426">
        <f t="shared" ref="K54" si="65">(K53)-(0)</f>
        <v>2964701.6</v>
      </c>
      <c r="L54" s="385">
        <f t="shared" ref="L54:O54" si="66">(L53)-(0)</f>
        <v>3828998.94</v>
      </c>
      <c r="M54" s="385">
        <f t="shared" si="66"/>
        <v>5090379.3512000004</v>
      </c>
      <c r="N54" s="385">
        <f t="shared" si="66"/>
        <v>6409939.4708899995</v>
      </c>
      <c r="O54" s="385">
        <f t="shared" si="66"/>
        <v>7748848.8747186791</v>
      </c>
      <c r="P54" s="385"/>
      <c r="Q54" s="350"/>
    </row>
    <row r="55" spans="1:18">
      <c r="A55" s="371" t="s">
        <v>30</v>
      </c>
      <c r="B55" s="596"/>
      <c r="C55" s="596"/>
      <c r="D55" s="597"/>
      <c r="E55" s="666"/>
      <c r="F55" s="597"/>
      <c r="G55" s="737"/>
      <c r="H55" s="645"/>
      <c r="I55" s="597"/>
      <c r="J55" s="597"/>
      <c r="K55" s="424"/>
      <c r="L55" s="350"/>
      <c r="M55" s="350"/>
      <c r="N55" s="350"/>
      <c r="O55" s="350"/>
      <c r="P55" s="350"/>
      <c r="Q55" s="350"/>
      <c r="R55" s="352"/>
    </row>
    <row r="56" spans="1:18">
      <c r="A56" s="386" t="s">
        <v>31</v>
      </c>
      <c r="B56" s="596"/>
      <c r="C56" s="596"/>
      <c r="D56" s="597"/>
      <c r="E56" s="666"/>
      <c r="F56" s="597"/>
      <c r="G56" s="737"/>
      <c r="H56" s="645"/>
      <c r="I56" s="597"/>
      <c r="J56" s="597"/>
      <c r="K56" s="424"/>
      <c r="L56" s="350"/>
      <c r="M56" s="350"/>
      <c r="N56" s="350"/>
      <c r="O56" s="350"/>
      <c r="P56" s="350"/>
      <c r="Q56" s="350"/>
      <c r="R56" s="352"/>
    </row>
    <row r="57" spans="1:18">
      <c r="A57" s="386" t="s">
        <v>398</v>
      </c>
      <c r="B57" s="596"/>
      <c r="C57" s="596"/>
      <c r="D57" s="597"/>
      <c r="E57" s="666"/>
      <c r="F57" s="597"/>
      <c r="G57" s="737"/>
      <c r="H57" s="645"/>
      <c r="I57" s="597"/>
      <c r="J57" s="597"/>
      <c r="K57" s="424"/>
      <c r="L57" s="350"/>
      <c r="M57" s="350"/>
      <c r="N57" s="350"/>
      <c r="O57" s="350"/>
      <c r="P57" s="350"/>
      <c r="Q57" s="350"/>
      <c r="R57" s="352"/>
    </row>
    <row r="58" spans="1:18">
      <c r="A58" s="386" t="s">
        <v>399</v>
      </c>
      <c r="B58" s="598">
        <v>113750</v>
      </c>
      <c r="C58" s="598">
        <v>113769.27</v>
      </c>
      <c r="D58" s="574">
        <v>133900</v>
      </c>
      <c r="E58" s="667">
        <v>33475.019999999997</v>
      </c>
      <c r="F58" s="574">
        <f>SUMIF('Staffing Detail'!$A:$A,'Budget Detail'!$A58,'Staffing Detail'!L:L)</f>
        <v>133900</v>
      </c>
      <c r="G58" s="738">
        <f t="shared" ref="G58:G68" si="67">F58</f>
        <v>133900</v>
      </c>
      <c r="H58" s="644">
        <f>E58/G58</f>
        <v>0.25000014936519788</v>
      </c>
      <c r="I58" s="574">
        <f>G58-E58</f>
        <v>100424.98000000001</v>
      </c>
      <c r="J58" s="574"/>
      <c r="K58" s="427">
        <f>SUMIF('Staffing Detail'!$A:$A,'Budget Detail'!$A58,'Staffing Detail'!L:L)</f>
        <v>133900</v>
      </c>
      <c r="L58" s="381">
        <f>SUMIF('Staffing Detail'!$A:$A,'Budget Detail'!$A58,'Staffing Detail'!M:M)</f>
        <v>137917</v>
      </c>
      <c r="M58" s="381">
        <f>SUMIF('Staffing Detail'!$A:$A,'Budget Detail'!$A58,'Staffing Detail'!N:N)</f>
        <v>142054.51</v>
      </c>
      <c r="N58" s="381">
        <f>SUMIF('Staffing Detail'!$A:$A,'Budget Detail'!$A58,'Staffing Detail'!O:O)</f>
        <v>146316.1453</v>
      </c>
      <c r="O58" s="381">
        <f>SUMIF('Staffing Detail'!$A:$A,'Budget Detail'!$A58,'Staffing Detail'!P:P)</f>
        <v>150705.629659</v>
      </c>
      <c r="P58" s="381"/>
      <c r="Q58" s="350"/>
      <c r="R58" s="352"/>
    </row>
    <row r="59" spans="1:18">
      <c r="A59" s="386" t="s">
        <v>400</v>
      </c>
      <c r="B59" s="598"/>
      <c r="C59" s="598"/>
      <c r="D59" s="574">
        <v>0</v>
      </c>
      <c r="E59" s="667"/>
      <c r="F59" s="574"/>
      <c r="G59" s="738">
        <f t="shared" si="67"/>
        <v>0</v>
      </c>
      <c r="H59" s="644"/>
      <c r="I59" s="574"/>
      <c r="J59" s="574"/>
      <c r="K59" s="427">
        <f>SUMIF('Staffing Detail'!$A:$A,'Budget Detail'!$A59,'Staffing Detail'!L:L)</f>
        <v>0</v>
      </c>
      <c r="L59" s="381">
        <f>SUMIF('Staffing Detail'!$A:$A,'Budget Detail'!$A59,'Staffing Detail'!M:M)</f>
        <v>0</v>
      </c>
      <c r="M59" s="381">
        <f>SUMIF('Staffing Detail'!$A:$A,'Budget Detail'!$A59,'Staffing Detail'!N:N)</f>
        <v>0</v>
      </c>
      <c r="N59" s="381">
        <f>SUMIF('Staffing Detail'!$A:$A,'Budget Detail'!$A59,'Staffing Detail'!O:O)</f>
        <v>0</v>
      </c>
      <c r="O59" s="381">
        <f>SUMIF('Staffing Detail'!$A:$A,'Budget Detail'!$A59,'Staffing Detail'!P:P)</f>
        <v>0</v>
      </c>
      <c r="P59" s="381"/>
      <c r="Q59" s="350" t="s">
        <v>374</v>
      </c>
      <c r="R59" s="352"/>
    </row>
    <row r="60" spans="1:18">
      <c r="A60" s="386" t="s">
        <v>537</v>
      </c>
      <c r="B60" s="598"/>
      <c r="C60" s="598"/>
      <c r="D60" s="574">
        <v>0</v>
      </c>
      <c r="E60" s="667"/>
      <c r="F60" s="574"/>
      <c r="G60" s="738">
        <f t="shared" si="67"/>
        <v>0</v>
      </c>
      <c r="H60" s="644"/>
      <c r="I60" s="574"/>
      <c r="J60" s="574"/>
      <c r="K60" s="427">
        <f>SUMIF('Staffing Detail'!$A:$A,'Budget Detail'!$A60,'Staffing Detail'!L:L)</f>
        <v>0</v>
      </c>
      <c r="L60" s="381">
        <f>SUMIF('Staffing Detail'!$A:$A,'Budget Detail'!$A60,'Staffing Detail'!M:M)</f>
        <v>0</v>
      </c>
      <c r="M60" s="381">
        <f>SUMIF('Staffing Detail'!$A:$A,'Budget Detail'!$A60,'Staffing Detail'!N:N)</f>
        <v>0</v>
      </c>
      <c r="N60" s="381">
        <f>SUMIF('Staffing Detail'!$A:$A,'Budget Detail'!$A60,'Staffing Detail'!O:O)</f>
        <v>0</v>
      </c>
      <c r="O60" s="381">
        <f>SUMIF('Staffing Detail'!$A:$A,'Budget Detail'!$A60,'Staffing Detail'!P:P)</f>
        <v>0</v>
      </c>
      <c r="P60" s="381"/>
      <c r="Q60" s="350" t="s">
        <v>538</v>
      </c>
      <c r="R60" s="352"/>
    </row>
    <row r="61" spans="1:18">
      <c r="A61" s="386" t="s">
        <v>401</v>
      </c>
      <c r="B61" s="598"/>
      <c r="C61" s="598"/>
      <c r="D61" s="574">
        <v>80000</v>
      </c>
      <c r="E61" s="667">
        <v>16974.330000000002</v>
      </c>
      <c r="F61" s="574">
        <f>SUMIF('Staffing Detail'!A:A,'Budget Detail'!A61,'Staffing Detail'!L:L)</f>
        <v>80000</v>
      </c>
      <c r="G61" s="738">
        <f t="shared" si="67"/>
        <v>80000</v>
      </c>
      <c r="H61" s="644">
        <f>E61/G61</f>
        <v>0.21217912500000002</v>
      </c>
      <c r="I61" s="574">
        <f t="shared" ref="I61:I62" si="68">G61-E61</f>
        <v>63025.67</v>
      </c>
      <c r="J61" s="574"/>
      <c r="K61" s="427">
        <f>SUMIF('Staffing Detail'!$A:$A,'Budget Detail'!$A61,'Staffing Detail'!L:L)</f>
        <v>80000</v>
      </c>
      <c r="L61" s="381">
        <f>SUMIF('Staffing Detail'!$A:$A,'Budget Detail'!$A61,'Staffing Detail'!M:M)</f>
        <v>82400</v>
      </c>
      <c r="M61" s="381">
        <f>SUMIF('Staffing Detail'!$A:$A,'Budget Detail'!$A61,'Staffing Detail'!N:N)</f>
        <v>84872</v>
      </c>
      <c r="N61" s="381">
        <f>SUMIF('Staffing Detail'!$A:$A,'Budget Detail'!$A61,'Staffing Detail'!O:O)</f>
        <v>87418.16</v>
      </c>
      <c r="O61" s="381">
        <f>SUMIF('Staffing Detail'!$A:$A,'Budget Detail'!$A61,'Staffing Detail'!P:P)</f>
        <v>90040.704800000007</v>
      </c>
      <c r="P61" s="381"/>
      <c r="Q61" s="350"/>
      <c r="R61" s="352"/>
    </row>
    <row r="62" spans="1:18">
      <c r="A62" s="386" t="s">
        <v>402</v>
      </c>
      <c r="B62" s="598">
        <v>42500</v>
      </c>
      <c r="C62" s="598">
        <v>20123.73</v>
      </c>
      <c r="D62" s="574">
        <v>90000</v>
      </c>
      <c r="E62" s="667">
        <v>15692.31</v>
      </c>
      <c r="F62" s="574">
        <f>SUMIF('Staffing Detail'!A:A,'Budget Detail'!A62,'Staffing Detail'!L:L)</f>
        <v>86750</v>
      </c>
      <c r="G62" s="738">
        <f t="shared" si="67"/>
        <v>86750</v>
      </c>
      <c r="H62" s="644">
        <f t="shared" ref="H62" si="69">E62/G62</f>
        <v>0.18089118155619596</v>
      </c>
      <c r="I62" s="574">
        <f t="shared" si="68"/>
        <v>71057.69</v>
      </c>
      <c r="J62" s="574"/>
      <c r="K62" s="427">
        <f>SUMIF('Staffing Detail'!$A:$A,'Budget Detail'!$A62,'Staffing Detail'!L:L)</f>
        <v>86750</v>
      </c>
      <c r="L62" s="381">
        <f>SUMIF('Staffing Detail'!$A:$A,'Budget Detail'!$A62,'Staffing Detail'!M:M)</f>
        <v>15965</v>
      </c>
      <c r="M62" s="381">
        <f>SUMIF('Staffing Detail'!$A:$A,'Budget Detail'!$A62,'Staffing Detail'!N:N)</f>
        <v>16443.95</v>
      </c>
      <c r="N62" s="381">
        <f>SUMIF('Staffing Detail'!$A:$A,'Budget Detail'!$A62,'Staffing Detail'!O:O)</f>
        <v>16937.268500000002</v>
      </c>
      <c r="O62" s="381">
        <f>SUMIF('Staffing Detail'!$A:$A,'Budget Detail'!$A62,'Staffing Detail'!P:P)</f>
        <v>17445.386555000001</v>
      </c>
      <c r="P62" s="381"/>
      <c r="Q62" s="350"/>
      <c r="R62" s="352"/>
    </row>
    <row r="63" spans="1:18">
      <c r="A63" s="386" t="s">
        <v>403</v>
      </c>
      <c r="B63" s="598"/>
      <c r="C63" s="598"/>
      <c r="D63" s="574">
        <v>0</v>
      </c>
      <c r="E63" s="667"/>
      <c r="F63" s="574"/>
      <c r="G63" s="738">
        <f t="shared" si="67"/>
        <v>0</v>
      </c>
      <c r="H63" s="644"/>
      <c r="I63" s="574"/>
      <c r="J63" s="574"/>
      <c r="K63" s="427">
        <f>SUMIF('Staffing Detail'!$A:$A,'Budget Detail'!$A63,'Staffing Detail'!L:L)</f>
        <v>0</v>
      </c>
      <c r="L63" s="381">
        <f>SUMIF('Staffing Detail'!$A:$A,'Budget Detail'!$A63,'Staffing Detail'!M:M)</f>
        <v>0</v>
      </c>
      <c r="M63" s="381">
        <f>SUMIF('Staffing Detail'!$A:$A,'Budget Detail'!$A63,'Staffing Detail'!N:N)</f>
        <v>0</v>
      </c>
      <c r="N63" s="381">
        <f>SUMIF('Staffing Detail'!$A:$A,'Budget Detail'!$A63,'Staffing Detail'!O:O)</f>
        <v>0</v>
      </c>
      <c r="O63" s="381">
        <f>SUMIF('Staffing Detail'!$A:$A,'Budget Detail'!$A63,'Staffing Detail'!P:P)</f>
        <v>0</v>
      </c>
      <c r="P63" s="381"/>
      <c r="Q63" s="350" t="s">
        <v>374</v>
      </c>
      <c r="R63" s="352"/>
    </row>
    <row r="64" spans="1:18">
      <c r="A64" s="386" t="s">
        <v>404</v>
      </c>
      <c r="B64" s="598">
        <v>12500</v>
      </c>
      <c r="C64" s="598">
        <v>13162.66</v>
      </c>
      <c r="D64" s="574">
        <v>52650</v>
      </c>
      <c r="E64" s="667">
        <v>13162.5</v>
      </c>
      <c r="F64" s="574">
        <f>SUMIF('Staffing Detail'!A:A,'Budget Detail'!A64,'Staffing Detail'!L:L)</f>
        <v>52650</v>
      </c>
      <c r="G64" s="738">
        <f t="shared" si="67"/>
        <v>52650</v>
      </c>
      <c r="H64" s="644">
        <f>E64/G64</f>
        <v>0.25</v>
      </c>
      <c r="I64" s="574">
        <f>G64-E64</f>
        <v>39487.5</v>
      </c>
      <c r="J64" s="574"/>
      <c r="K64" s="427">
        <f>SUMIF('Staffing Detail'!$A:$A,'Budget Detail'!$A64,'Staffing Detail'!L:L)</f>
        <v>52650</v>
      </c>
      <c r="L64" s="381">
        <f>SUMIF('Staffing Detail'!$A:$A,'Budget Detail'!$A64,'Staffing Detail'!M:M)</f>
        <v>54229.5</v>
      </c>
      <c r="M64" s="381">
        <f>SUMIF('Staffing Detail'!$A:$A,'Budget Detail'!$A64,'Staffing Detail'!N:N)</f>
        <v>55856.385000000002</v>
      </c>
      <c r="N64" s="381">
        <f>SUMIF('Staffing Detail'!$A:$A,'Budget Detail'!$A64,'Staffing Detail'!O:O)</f>
        <v>57532.076550000005</v>
      </c>
      <c r="O64" s="381">
        <f>SUMIF('Staffing Detail'!$A:$A,'Budget Detail'!$A64,'Staffing Detail'!P:P)</f>
        <v>59258.038846500007</v>
      </c>
      <c r="P64" s="381"/>
      <c r="Q64" s="350"/>
      <c r="R64" s="352"/>
    </row>
    <row r="65" spans="1:18">
      <c r="A65" s="386" t="s">
        <v>405</v>
      </c>
      <c r="B65" s="598"/>
      <c r="C65" s="598"/>
      <c r="D65" s="574">
        <v>0</v>
      </c>
      <c r="E65" s="667"/>
      <c r="F65" s="574"/>
      <c r="G65" s="738">
        <f t="shared" si="67"/>
        <v>0</v>
      </c>
      <c r="H65" s="644"/>
      <c r="I65" s="574"/>
      <c r="J65" s="574"/>
      <c r="K65" s="427">
        <f>SUMIF('Staffing Detail'!$A:$A,'Budget Detail'!$A65,'Staffing Detail'!L:L)</f>
        <v>0</v>
      </c>
      <c r="L65" s="381">
        <f>SUMIF('Staffing Detail'!$A:$A,'Budget Detail'!$A65,'Staffing Detail'!M:M)</f>
        <v>55000</v>
      </c>
      <c r="M65" s="381">
        <f>SUMIF('Staffing Detail'!$A:$A,'Budget Detail'!$A65,'Staffing Detail'!N:N)</f>
        <v>56650</v>
      </c>
      <c r="N65" s="381">
        <f>SUMIF('Staffing Detail'!$A:$A,'Budget Detail'!$A65,'Staffing Detail'!O:O)</f>
        <v>58349.5</v>
      </c>
      <c r="O65" s="381">
        <f>SUMIF('Staffing Detail'!$A:$A,'Budget Detail'!$A65,'Staffing Detail'!P:P)</f>
        <v>60099.985000000001</v>
      </c>
      <c r="P65" s="381"/>
      <c r="Q65" s="350" t="s">
        <v>374</v>
      </c>
      <c r="R65" s="352"/>
    </row>
    <row r="66" spans="1:18">
      <c r="A66" s="386" t="s">
        <v>406</v>
      </c>
      <c r="B66" s="598"/>
      <c r="C66" s="598"/>
      <c r="D66" s="574">
        <v>0</v>
      </c>
      <c r="E66" s="667"/>
      <c r="F66" s="574"/>
      <c r="G66" s="738">
        <f t="shared" si="67"/>
        <v>0</v>
      </c>
      <c r="H66" s="644"/>
      <c r="I66" s="574"/>
      <c r="J66" s="574"/>
      <c r="K66" s="427">
        <f>SUMIF('Staffing Detail'!$A:$A,'Budget Detail'!$A66,'Staffing Detail'!L:L)</f>
        <v>0</v>
      </c>
      <c r="L66" s="381">
        <f>SUMIF('Staffing Detail'!$A:$A,'Budget Detail'!$A66,'Staffing Detail'!M:M)</f>
        <v>42000</v>
      </c>
      <c r="M66" s="381">
        <f>SUMIF('Staffing Detail'!$A:$A,'Budget Detail'!$A66,'Staffing Detail'!N:N)</f>
        <v>43260</v>
      </c>
      <c r="N66" s="381">
        <f>SUMIF('Staffing Detail'!$A:$A,'Budget Detail'!$A66,'Staffing Detail'!O:O)</f>
        <v>44557.8</v>
      </c>
      <c r="O66" s="381">
        <f>SUMIF('Staffing Detail'!$A:$A,'Budget Detail'!$A66,'Staffing Detail'!P:P)</f>
        <v>45894.534000000007</v>
      </c>
      <c r="P66" s="381"/>
      <c r="Q66" s="350" t="s">
        <v>374</v>
      </c>
      <c r="R66" s="387"/>
    </row>
    <row r="67" spans="1:18">
      <c r="A67" s="386" t="s">
        <v>407</v>
      </c>
      <c r="B67" s="598"/>
      <c r="C67" s="598"/>
      <c r="D67" s="574">
        <v>0</v>
      </c>
      <c r="E67" s="667"/>
      <c r="F67" s="574"/>
      <c r="G67" s="738">
        <f t="shared" si="67"/>
        <v>0</v>
      </c>
      <c r="H67" s="644"/>
      <c r="I67" s="574"/>
      <c r="J67" s="574"/>
      <c r="K67" s="427">
        <f>SUMIF('Staffing Detail'!$A:$A,'Budget Detail'!$A67,'Staffing Detail'!L:L)</f>
        <v>0</v>
      </c>
      <c r="L67" s="381">
        <f>SUMIF('Staffing Detail'!$A:$A,'Budget Detail'!$A67,'Staffing Detail'!M:M)</f>
        <v>50000</v>
      </c>
      <c r="M67" s="381">
        <f>SUMIF('Staffing Detail'!$A:$A,'Budget Detail'!$A67,'Staffing Detail'!N:N)</f>
        <v>51500</v>
      </c>
      <c r="N67" s="381">
        <f>SUMIF('Staffing Detail'!$A:$A,'Budget Detail'!$A67,'Staffing Detail'!O:O)</f>
        <v>53045</v>
      </c>
      <c r="O67" s="381">
        <f>SUMIF('Staffing Detail'!$A:$A,'Budget Detail'!$A67,'Staffing Detail'!P:P)</f>
        <v>54636.35</v>
      </c>
      <c r="P67" s="381"/>
      <c r="Q67" s="350" t="s">
        <v>374</v>
      </c>
      <c r="R67" s="352"/>
    </row>
    <row r="68" spans="1:18">
      <c r="A68" s="386" t="s">
        <v>840</v>
      </c>
      <c r="B68" s="598"/>
      <c r="C68" s="598"/>
      <c r="D68" s="574">
        <v>0</v>
      </c>
      <c r="E68" s="667"/>
      <c r="F68" s="574">
        <f>SUMIF('Staffing Detail'!A:A,'Budget Detail'!A68,'Staffing Detail'!L:L)</f>
        <v>16500</v>
      </c>
      <c r="G68" s="738">
        <f t="shared" si="67"/>
        <v>16500</v>
      </c>
      <c r="H68" s="644">
        <f>E68/G68</f>
        <v>0</v>
      </c>
      <c r="I68" s="574">
        <f>G68-E68</f>
        <v>16500</v>
      </c>
      <c r="J68" s="574"/>
      <c r="K68" s="427"/>
      <c r="L68" s="381"/>
      <c r="M68" s="381"/>
      <c r="N68" s="381"/>
      <c r="O68" s="381"/>
      <c r="P68" s="381"/>
      <c r="Q68" s="350" t="s">
        <v>966</v>
      </c>
      <c r="R68" s="352"/>
    </row>
    <row r="69" spans="1:18">
      <c r="A69" s="388" t="s">
        <v>408</v>
      </c>
      <c r="B69" s="565">
        <f>((((((((((B57)+(B58))+(B59))+(B60))+(B61))+(B62))+(B63))+(B64))+(B65))+(B66))+(B67)+B68</f>
        <v>168750</v>
      </c>
      <c r="C69" s="565">
        <f t="shared" ref="C69:I69" si="70">((((((((((C57)+(C58))+(C59))+(C60))+(C61))+(C62))+(C63))+(C64))+(C65))+(C66))+(C67)+C68</f>
        <v>147055.66</v>
      </c>
      <c r="D69" s="565">
        <f t="shared" si="70"/>
        <v>356550</v>
      </c>
      <c r="E69" s="565">
        <f t="shared" si="70"/>
        <v>79304.160000000003</v>
      </c>
      <c r="F69" s="565">
        <f t="shared" si="70"/>
        <v>369800</v>
      </c>
      <c r="G69" s="565">
        <f>SUM(G58:G68)</f>
        <v>369800</v>
      </c>
      <c r="H69" s="649">
        <f>E69/F69</f>
        <v>0.21445148729042726</v>
      </c>
      <c r="I69" s="565">
        <f t="shared" si="70"/>
        <v>290495.84000000003</v>
      </c>
      <c r="J69" s="565"/>
      <c r="K69" s="426">
        <f t="shared" ref="K69" si="71">((((((((((K57)+(K58))+(K59))+(K60))+(K61))+(K62))+(K63))+(K64))+(K65))+(K66))+(K67)</f>
        <v>353300</v>
      </c>
      <c r="L69" s="378">
        <f t="shared" ref="L69:O69" si="72">((((((((((L57)+(L58))+(L59))+(L60))+(L61))+(L62))+(L63))+(L64))+(L65))+(L66))+(L67)</f>
        <v>437511.5</v>
      </c>
      <c r="M69" s="378">
        <f t="shared" si="72"/>
        <v>450636.84500000003</v>
      </c>
      <c r="N69" s="378">
        <f t="shared" si="72"/>
        <v>464155.95035</v>
      </c>
      <c r="O69" s="378">
        <f t="shared" si="72"/>
        <v>478080.62886049994</v>
      </c>
      <c r="P69" s="378"/>
      <c r="Q69" s="351"/>
      <c r="R69" s="352"/>
    </row>
    <row r="70" spans="1:18">
      <c r="A70" s="386" t="s">
        <v>409</v>
      </c>
      <c r="B70" s="596"/>
      <c r="C70" s="596"/>
      <c r="D70" s="597"/>
      <c r="E70" s="666"/>
      <c r="F70" s="597"/>
      <c r="G70" s="737"/>
      <c r="H70" s="645"/>
      <c r="I70" s="597"/>
      <c r="J70" s="597"/>
      <c r="K70" s="424"/>
      <c r="L70" s="350"/>
      <c r="M70" s="350"/>
      <c r="N70" s="350"/>
      <c r="O70" s="350"/>
      <c r="P70" s="350"/>
      <c r="Q70" s="350"/>
      <c r="R70" s="352"/>
    </row>
    <row r="71" spans="1:18">
      <c r="A71" s="386" t="s">
        <v>712</v>
      </c>
      <c r="B71" s="598"/>
      <c r="C71" s="598">
        <v>2596.0500000000002</v>
      </c>
      <c r="D71" s="574">
        <v>315000</v>
      </c>
      <c r="E71" s="667">
        <v>43166.65</v>
      </c>
      <c r="F71" s="574">
        <f>SUMIF('Staffing Detail'!A:A,'Budget Detail'!A71,'Staffing Detail'!L:L)</f>
        <v>292333.33</v>
      </c>
      <c r="G71" s="738">
        <f t="shared" ref="G71:G77" si="73">F71</f>
        <v>292333.33</v>
      </c>
      <c r="H71" s="644">
        <f>E71/G71</f>
        <v>0.14766243041804367</v>
      </c>
      <c r="I71" s="574">
        <f t="shared" ref="I71:I72" si="74">G71-E71</f>
        <v>249166.68000000002</v>
      </c>
      <c r="J71" s="574"/>
      <c r="K71" s="427">
        <f>SUMIF('Staffing Detail'!$A:$A,'Budget Detail'!$A71,'Staffing Detail'!L:L)</f>
        <v>292333.33</v>
      </c>
      <c r="L71" s="381">
        <f>SUMIF('Staffing Detail'!$A:$A,'Budget Detail'!$A71,'Staffing Detail'!M:M)</f>
        <v>249603.32990000001</v>
      </c>
      <c r="M71" s="381">
        <f>SUMIF('Staffing Detail'!$A:$A,'Budget Detail'!$A71,'Staffing Detail'!N:N)</f>
        <v>257091.42979700002</v>
      </c>
      <c r="N71" s="381">
        <f>SUMIF('Staffing Detail'!$A:$A,'Budget Detail'!$A71,'Staffing Detail'!O:O)</f>
        <v>264804.17269091005</v>
      </c>
      <c r="O71" s="381">
        <f>SUMIF('Staffing Detail'!$A:$A,'Budget Detail'!$A71,'Staffing Detail'!P:P)</f>
        <v>272748.29787163733</v>
      </c>
      <c r="P71" s="381"/>
      <c r="Q71" s="350" t="s">
        <v>375</v>
      </c>
      <c r="R71" s="352"/>
    </row>
    <row r="72" spans="1:18">
      <c r="A72" s="386" t="s">
        <v>713</v>
      </c>
      <c r="B72" s="598"/>
      <c r="C72" s="598"/>
      <c r="D72" s="574">
        <v>273000</v>
      </c>
      <c r="E72" s="667">
        <v>41461.79</v>
      </c>
      <c r="F72" s="574">
        <f>SUMIF('Staffing Detail'!A:A,'Budget Detail'!A72,'Staffing Detail'!L:L)</f>
        <v>251000</v>
      </c>
      <c r="G72" s="738">
        <f t="shared" si="73"/>
        <v>251000</v>
      </c>
      <c r="H72" s="644">
        <f>E72/G72</f>
        <v>0.16518641434262948</v>
      </c>
      <c r="I72" s="574">
        <f t="shared" si="74"/>
        <v>209538.21</v>
      </c>
      <c r="J72" s="574"/>
      <c r="K72" s="427">
        <f>SUMIF('Staffing Detail'!$A:$A,'Budget Detail'!$A72,'Staffing Detail'!L:L)</f>
        <v>251000</v>
      </c>
      <c r="L72" s="381"/>
      <c r="M72" s="381"/>
      <c r="N72" s="381"/>
      <c r="O72" s="381"/>
      <c r="P72" s="381"/>
      <c r="Q72" s="350"/>
      <c r="R72" s="352"/>
    </row>
    <row r="73" spans="1:18">
      <c r="A73" s="386" t="s">
        <v>411</v>
      </c>
      <c r="B73" s="598"/>
      <c r="C73" s="598"/>
      <c r="D73" s="574"/>
      <c r="E73" s="667"/>
      <c r="F73" s="574"/>
      <c r="G73" s="738">
        <f t="shared" si="73"/>
        <v>0</v>
      </c>
      <c r="H73" s="644"/>
      <c r="I73" s="574"/>
      <c r="J73" s="574"/>
      <c r="K73" s="427">
        <f>SUMIF('Staffing Detail'!$A:$A,'Budget Detail'!$A73,'Staffing Detail'!L:L)</f>
        <v>0</v>
      </c>
      <c r="L73" s="381">
        <f>SUMIF('Staffing Detail'!$A:$A,'Budget Detail'!$A73,'Staffing Detail'!M:M)</f>
        <v>67000</v>
      </c>
      <c r="M73" s="381">
        <f>SUMIF('Staffing Detail'!$A:$A,'Budget Detail'!$A73,'Staffing Detail'!N:N)</f>
        <v>69010</v>
      </c>
      <c r="N73" s="381">
        <f>SUMIF('Staffing Detail'!$A:$A,'Budget Detail'!$A73,'Staffing Detail'!O:O)</f>
        <v>71080.3</v>
      </c>
      <c r="O73" s="381">
        <f>SUMIF('Staffing Detail'!$A:$A,'Budget Detail'!$A73,'Staffing Detail'!P:P)</f>
        <v>73212.709000000003</v>
      </c>
      <c r="P73" s="381"/>
      <c r="Q73" s="350" t="s">
        <v>539</v>
      </c>
      <c r="R73" s="352"/>
    </row>
    <row r="74" spans="1:18" s="660" customFormat="1">
      <c r="A74" s="655" t="s">
        <v>837</v>
      </c>
      <c r="B74" s="656"/>
      <c r="C74" s="656"/>
      <c r="D74" s="574"/>
      <c r="E74" s="668"/>
      <c r="F74" s="574"/>
      <c r="G74" s="738">
        <f t="shared" si="73"/>
        <v>0</v>
      </c>
      <c r="H74" s="644"/>
      <c r="I74" s="574"/>
      <c r="J74" s="574"/>
      <c r="K74" s="657"/>
      <c r="L74" s="658"/>
      <c r="M74" s="658"/>
      <c r="N74" s="658"/>
      <c r="O74" s="658"/>
      <c r="P74" s="658"/>
      <c r="Q74" s="659"/>
      <c r="R74" s="441"/>
    </row>
    <row r="75" spans="1:18">
      <c r="A75" s="386" t="s">
        <v>418</v>
      </c>
      <c r="B75" s="598"/>
      <c r="C75" s="598"/>
      <c r="D75" s="574">
        <v>96250</v>
      </c>
      <c r="E75" s="667">
        <v>8250.01</v>
      </c>
      <c r="F75" s="574">
        <f>SUMIF('Staffing Detail'!A:A,'Budget Detail'!A75,'Staffing Detail'!L:L)</f>
        <v>60500</v>
      </c>
      <c r="G75" s="738">
        <f t="shared" si="73"/>
        <v>60500</v>
      </c>
      <c r="H75" s="644">
        <f t="shared" ref="H75:H77" si="75">E75/G75</f>
        <v>0.13636380165289255</v>
      </c>
      <c r="I75" s="574">
        <f t="shared" ref="I75:I77" si="76">G75-E75</f>
        <v>52249.99</v>
      </c>
      <c r="J75" s="574"/>
      <c r="K75" s="427">
        <f>SUMIF('Staffing Detail'!$A:$A,'Budget Detail'!$A75,'Staffing Detail'!L:L)</f>
        <v>60500</v>
      </c>
      <c r="L75" s="381">
        <f>SUMIF('Staffing Detail'!$A:$A,'Budget Detail'!$A75,'Staffing Detail'!M:M)</f>
        <v>62315</v>
      </c>
      <c r="M75" s="381">
        <f>SUMIF('Staffing Detail'!$A:$A,'Budget Detail'!$A75,'Staffing Detail'!N:N)</f>
        <v>64184.450000000004</v>
      </c>
      <c r="N75" s="381">
        <f>SUMIF('Staffing Detail'!$A:$A,'Budget Detail'!$A75,'Staffing Detail'!O:O)</f>
        <v>66109.983500000002</v>
      </c>
      <c r="O75" s="381">
        <f>SUMIF('Staffing Detail'!$A:$A,'Budget Detail'!$A75,'Staffing Detail'!P:P)</f>
        <v>68093.283005000005</v>
      </c>
      <c r="P75" s="381"/>
      <c r="Q75" s="350" t="s">
        <v>536</v>
      </c>
      <c r="R75" s="352"/>
    </row>
    <row r="76" spans="1:18">
      <c r="A76" s="386" t="s">
        <v>412</v>
      </c>
      <c r="B76" s="598"/>
      <c r="C76" s="598"/>
      <c r="D76" s="574">
        <v>58500</v>
      </c>
      <c r="E76" s="667"/>
      <c r="F76" s="574">
        <f>SUMIF('Staffing Detail'!A:A,'Budget Detail'!A76,'Staffing Detail'!L:L)</f>
        <v>39000</v>
      </c>
      <c r="G76" s="738">
        <f t="shared" si="73"/>
        <v>39000</v>
      </c>
      <c r="H76" s="644">
        <f t="shared" si="75"/>
        <v>0</v>
      </c>
      <c r="I76" s="574">
        <f t="shared" si="76"/>
        <v>39000</v>
      </c>
      <c r="J76" s="574"/>
      <c r="K76" s="427">
        <f>SUMIF('Staffing Detail'!$A:$A,'Budget Detail'!$A76,'Staffing Detail'!L:L)</f>
        <v>39000</v>
      </c>
      <c r="L76" s="381">
        <f>SUMIF('Staffing Detail'!$A:$A,'Budget Detail'!$A76,'Staffing Detail'!M:M)</f>
        <v>0</v>
      </c>
      <c r="M76" s="381">
        <f>SUMIF('Staffing Detail'!$A:$A,'Budget Detail'!$A76,'Staffing Detail'!N:N)</f>
        <v>0</v>
      </c>
      <c r="N76" s="381">
        <f>SUMIF('Staffing Detail'!$A:$A,'Budget Detail'!$A76,'Staffing Detail'!O:O)</f>
        <v>0</v>
      </c>
      <c r="O76" s="381">
        <f>SUMIF('Staffing Detail'!$A:$A,'Budget Detail'!$A76,'Staffing Detail'!P:P)</f>
        <v>0</v>
      </c>
      <c r="P76" s="381"/>
      <c r="Q76" s="350"/>
      <c r="R76" s="352"/>
    </row>
    <row r="77" spans="1:18">
      <c r="A77" s="386" t="s">
        <v>413</v>
      </c>
      <c r="B77" s="598"/>
      <c r="C77" s="598"/>
      <c r="D77" s="574">
        <v>60000</v>
      </c>
      <c r="E77" s="667">
        <v>9750</v>
      </c>
      <c r="F77" s="574">
        <f>SUMIF('Staffing Detail'!A:A,'Budget Detail'!A77,'Staffing Detail'!L:L)</f>
        <v>58500</v>
      </c>
      <c r="G77" s="738">
        <f t="shared" si="73"/>
        <v>58500</v>
      </c>
      <c r="H77" s="644">
        <f t="shared" si="75"/>
        <v>0.16666666666666666</v>
      </c>
      <c r="I77" s="574">
        <f t="shared" si="76"/>
        <v>48750</v>
      </c>
      <c r="J77" s="574"/>
      <c r="K77" s="427">
        <f>SUMIF('Staffing Detail'!$A:$A,'Budget Detail'!$A77,'Staffing Detail'!L:L)</f>
        <v>58500</v>
      </c>
      <c r="L77" s="381">
        <f>SUMIF('Staffing Detail'!$A:$A,'Budget Detail'!$A77,'Staffing Detail'!M:M)</f>
        <v>61800</v>
      </c>
      <c r="M77" s="381">
        <f>SUMIF('Staffing Detail'!$A:$A,'Budget Detail'!$A77,'Staffing Detail'!N:N)</f>
        <v>63654</v>
      </c>
      <c r="N77" s="381">
        <f>SUMIF('Staffing Detail'!$A:$A,'Budget Detail'!$A77,'Staffing Detail'!O:O)</f>
        <v>65563.62</v>
      </c>
      <c r="O77" s="381">
        <f>SUMIF('Staffing Detail'!$A:$A,'Budget Detail'!$A77,'Staffing Detail'!P:P)</f>
        <v>67530.528599999991</v>
      </c>
      <c r="P77" s="381"/>
      <c r="Q77" s="350"/>
      <c r="R77" s="352"/>
    </row>
    <row r="78" spans="1:18">
      <c r="A78" s="388" t="s">
        <v>414</v>
      </c>
      <c r="B78" s="565">
        <f>((((((B70)+(B71))+(B72))+(B73))+(B75))+(B76))+(B77)</f>
        <v>0</v>
      </c>
      <c r="C78" s="565">
        <f>((((((C70)+(C71))+(C72))+(C73))+(C75))+(C76))+(C77)</f>
        <v>2596.0500000000002</v>
      </c>
      <c r="D78" s="565">
        <f>((((((D70)+(D71))+(D72))+(D73))+(D75))+(D76))+(D77)+D74</f>
        <v>802750</v>
      </c>
      <c r="E78" s="565">
        <f>((((((E70)+(E71))+(E72))+(E73))+(E75))+(E76))+(E77)+E74</f>
        <v>102628.45</v>
      </c>
      <c r="F78" s="568">
        <f>((((((F70)+(F71))+(F72))+(F73))+(F75))+(F76))+(F77)</f>
        <v>701333.33000000007</v>
      </c>
      <c r="G78" s="568">
        <f>SUM(G71:G77)</f>
        <v>701333.33000000007</v>
      </c>
      <c r="H78" s="646">
        <f>E78/F78</f>
        <v>0.14633334195025352</v>
      </c>
      <c r="I78" s="568">
        <f>((((((I70)+(I71))+(I72))+(I73))+(I75))+(I76))+(I77)</f>
        <v>598704.88</v>
      </c>
      <c r="J78" s="568"/>
      <c r="K78" s="426">
        <f>((((((K70)+(K71))+(K72))+(K73))+(K75))+(K76))+(K77)</f>
        <v>701333.33000000007</v>
      </c>
      <c r="L78" s="378">
        <f t="shared" ref="L78:O78" si="77">(((((L70)+(L71))+(L73))+(L75))+(L76))+(L77)</f>
        <v>440718.32990000001</v>
      </c>
      <c r="M78" s="378">
        <f t="shared" si="77"/>
        <v>453939.87979700003</v>
      </c>
      <c r="N78" s="378">
        <f t="shared" si="77"/>
        <v>467558.07619091007</v>
      </c>
      <c r="O78" s="378">
        <f t="shared" si="77"/>
        <v>481584.81847663724</v>
      </c>
      <c r="P78" s="378"/>
      <c r="Q78" s="351"/>
      <c r="R78" s="352"/>
    </row>
    <row r="79" spans="1:18">
      <c r="A79" s="386" t="s">
        <v>415</v>
      </c>
      <c r="B79" s="596"/>
      <c r="C79" s="596"/>
      <c r="D79" s="597"/>
      <c r="E79" s="666"/>
      <c r="F79" s="597"/>
      <c r="G79" s="737"/>
      <c r="H79" s="645"/>
      <c r="I79" s="597"/>
      <c r="J79" s="597"/>
      <c r="K79" s="424"/>
      <c r="L79" s="350"/>
      <c r="M79" s="350"/>
      <c r="N79" s="350"/>
      <c r="O79" s="350"/>
      <c r="P79" s="350"/>
      <c r="Q79" s="350"/>
      <c r="R79" s="352"/>
    </row>
    <row r="80" spans="1:18">
      <c r="A80" s="386" t="s">
        <v>416</v>
      </c>
      <c r="B80" s="598"/>
      <c r="C80" s="598"/>
      <c r="D80" s="574"/>
      <c r="E80" s="667"/>
      <c r="F80" s="574"/>
      <c r="G80" s="738">
        <f>F80</f>
        <v>0</v>
      </c>
      <c r="H80" s="644"/>
      <c r="I80" s="574"/>
      <c r="J80" s="574"/>
      <c r="K80" s="427">
        <f>SUMIF('Staffing Detail'!$A:$A,'Budget Detail'!$A80,'Staffing Detail'!L:L)</f>
        <v>0</v>
      </c>
      <c r="L80" s="381">
        <f>SUMIF('Staffing Detail'!$A:$A,'Budget Detail'!$A80,'Staffing Detail'!M:M)</f>
        <v>0</v>
      </c>
      <c r="M80" s="381">
        <f>SUMIF('Staffing Detail'!$A:$A,'Budget Detail'!$A80,'Staffing Detail'!N:N)</f>
        <v>0</v>
      </c>
      <c r="N80" s="381">
        <f>SUMIF('Staffing Detail'!$A:$A,'Budget Detail'!$A80,'Staffing Detail'!O:O)</f>
        <v>0</v>
      </c>
      <c r="O80" s="381">
        <f>SUMIF('Staffing Detail'!$A:$A,'Budget Detail'!$A80,'Staffing Detail'!P:P)</f>
        <v>0</v>
      </c>
      <c r="P80" s="381"/>
      <c r="Q80" s="350" t="s">
        <v>638</v>
      </c>
      <c r="R80" s="352"/>
    </row>
    <row r="81" spans="1:18">
      <c r="A81" s="389"/>
      <c r="B81" s="599"/>
      <c r="C81" s="599"/>
      <c r="D81" s="574"/>
      <c r="E81" s="667"/>
      <c r="F81" s="574"/>
      <c r="G81" s="738"/>
      <c r="H81" s="644"/>
      <c r="I81" s="574"/>
      <c r="J81" s="574"/>
      <c r="K81" s="427"/>
      <c r="L81" s="390"/>
      <c r="M81" s="390"/>
      <c r="N81" s="390"/>
      <c r="O81" s="390"/>
      <c r="P81" s="390"/>
      <c r="Q81" s="353"/>
      <c r="R81" s="352"/>
    </row>
    <row r="82" spans="1:18">
      <c r="A82" s="388" t="s">
        <v>417</v>
      </c>
      <c r="B82" s="565">
        <f t="shared" ref="B82:F82" si="78">(B79)+(B80)+B81</f>
        <v>0</v>
      </c>
      <c r="C82" s="565">
        <f t="shared" si="78"/>
        <v>0</v>
      </c>
      <c r="D82" s="565">
        <f t="shared" si="78"/>
        <v>0</v>
      </c>
      <c r="E82" s="565">
        <f t="shared" si="78"/>
        <v>0</v>
      </c>
      <c r="F82" s="568">
        <f t="shared" si="78"/>
        <v>0</v>
      </c>
      <c r="G82" s="568">
        <f>SUM(G80:G81)</f>
        <v>0</v>
      </c>
      <c r="H82" s="646"/>
      <c r="I82" s="568">
        <f>(I79)+(I80)+I81</f>
        <v>0</v>
      </c>
      <c r="J82" s="568"/>
      <c r="K82" s="426">
        <f t="shared" ref="K82" si="79">(K79)+(K80)</f>
        <v>0</v>
      </c>
      <c r="L82" s="378">
        <f t="shared" ref="L82:O82" si="80">(L79)+(L80)</f>
        <v>0</v>
      </c>
      <c r="M82" s="378">
        <f t="shared" si="80"/>
        <v>0</v>
      </c>
      <c r="N82" s="378">
        <f t="shared" si="80"/>
        <v>0</v>
      </c>
      <c r="O82" s="378">
        <f t="shared" si="80"/>
        <v>0</v>
      </c>
      <c r="P82" s="378"/>
      <c r="Q82" s="351"/>
      <c r="R82" s="352"/>
    </row>
    <row r="83" spans="1:18">
      <c r="A83" s="371" t="s">
        <v>419</v>
      </c>
      <c r="B83" s="596"/>
      <c r="C83" s="596"/>
      <c r="D83" s="597"/>
      <c r="E83" s="666"/>
      <c r="F83" s="597"/>
      <c r="G83" s="737"/>
      <c r="H83" s="645"/>
      <c r="I83" s="597"/>
      <c r="J83" s="597"/>
      <c r="K83" s="424"/>
      <c r="L83" s="350"/>
      <c r="M83" s="350"/>
      <c r="N83" s="350"/>
      <c r="O83" s="350"/>
      <c r="P83" s="350"/>
      <c r="Q83" s="350"/>
      <c r="R83" s="352"/>
    </row>
    <row r="84" spans="1:18">
      <c r="A84" s="371" t="s">
        <v>420</v>
      </c>
      <c r="B84" s="596"/>
      <c r="C84" s="596"/>
      <c r="D84" s="597"/>
      <c r="E84" s="666"/>
      <c r="F84" s="597"/>
      <c r="G84" s="737">
        <f t="shared" ref="G84:G95" si="81">F84</f>
        <v>0</v>
      </c>
      <c r="H84" s="645"/>
      <c r="I84" s="597"/>
      <c r="J84" s="597"/>
      <c r="K84" s="424"/>
      <c r="L84" s="350"/>
      <c r="M84" s="350"/>
      <c r="N84" s="350"/>
      <c r="O84" s="350"/>
      <c r="P84" s="350"/>
      <c r="Q84" s="350"/>
    </row>
    <row r="85" spans="1:18">
      <c r="A85" s="371" t="s">
        <v>421</v>
      </c>
      <c r="B85" s="598">
        <v>1394</v>
      </c>
      <c r="C85" s="598">
        <v>2163.75</v>
      </c>
      <c r="D85" s="574">
        <v>11593</v>
      </c>
      <c r="E85" s="667">
        <v>4655.1499999999996</v>
      </c>
      <c r="F85" s="574">
        <f>(F$69+F$78+F$82)*1%</f>
        <v>10711.3333</v>
      </c>
      <c r="G85" s="738">
        <f t="shared" si="81"/>
        <v>10711.3333</v>
      </c>
      <c r="H85" s="644">
        <f t="shared" ref="H85:H86" si="82">E85/G85</f>
        <v>0.43460042458019671</v>
      </c>
      <c r="I85" s="574">
        <f t="shared" ref="I85:I87" si="83">G85-E85</f>
        <v>6056.1833000000006</v>
      </c>
      <c r="J85" s="574"/>
      <c r="K85" s="427">
        <f t="shared" ref="K85:O85" si="84">(K$69+K$78+K$82)*1%</f>
        <v>10546.3333</v>
      </c>
      <c r="L85" s="381">
        <f t="shared" si="84"/>
        <v>8782.298299</v>
      </c>
      <c r="M85" s="381">
        <f t="shared" si="84"/>
        <v>9045.7672479700013</v>
      </c>
      <c r="N85" s="381">
        <f t="shared" si="84"/>
        <v>9317.1402654091016</v>
      </c>
      <c r="O85" s="381">
        <f t="shared" si="84"/>
        <v>9596.6544733713727</v>
      </c>
      <c r="P85" s="381"/>
      <c r="Q85" s="350" t="s">
        <v>179</v>
      </c>
    </row>
    <row r="86" spans="1:18">
      <c r="A86" s="371" t="s">
        <v>422</v>
      </c>
      <c r="B86" s="598">
        <v>10463</v>
      </c>
      <c r="C86" s="598">
        <v>9239.2199999999993</v>
      </c>
      <c r="D86" s="574">
        <v>71876.600000000006</v>
      </c>
      <c r="E86" s="667">
        <v>11168.09</v>
      </c>
      <c r="F86" s="574">
        <f>(F$69+F$78+F$82)*6.2%</f>
        <v>66410.266459999999</v>
      </c>
      <c r="G86" s="738">
        <f t="shared" si="81"/>
        <v>66410.266459999999</v>
      </c>
      <c r="H86" s="644">
        <f t="shared" si="82"/>
        <v>0.16816812513057339</v>
      </c>
      <c r="I86" s="574">
        <f>G86-E86</f>
        <v>55242.176460000002</v>
      </c>
      <c r="J86" s="574"/>
      <c r="K86" s="427">
        <f t="shared" ref="K86:O86" si="85">(K$69+K$78+K$82)*6.2%</f>
        <v>65387.266460000006</v>
      </c>
      <c r="L86" s="381">
        <f t="shared" si="85"/>
        <v>54450.249453800003</v>
      </c>
      <c r="M86" s="381">
        <f t="shared" si="85"/>
        <v>56083.756937414</v>
      </c>
      <c r="N86" s="381">
        <f t="shared" si="85"/>
        <v>57766.269645536428</v>
      </c>
      <c r="O86" s="381">
        <f t="shared" si="85"/>
        <v>59499.257734902509</v>
      </c>
      <c r="P86" s="381"/>
      <c r="Q86" s="350" t="s">
        <v>177</v>
      </c>
    </row>
    <row r="87" spans="1:18">
      <c r="A87" s="371" t="s">
        <v>423</v>
      </c>
      <c r="B87" s="598">
        <v>2447</v>
      </c>
      <c r="C87" s="598">
        <v>2160.75</v>
      </c>
      <c r="D87" s="574">
        <v>16809.849999999999</v>
      </c>
      <c r="E87" s="667">
        <v>2611.9</v>
      </c>
      <c r="F87" s="574">
        <f>(F$69+F$78+F$82)*1.45%</f>
        <v>15531.433284999999</v>
      </c>
      <c r="G87" s="738">
        <f t="shared" si="81"/>
        <v>15531.433284999999</v>
      </c>
      <c r="H87" s="644">
        <f>E87/G87</f>
        <v>0.16816863917656136</v>
      </c>
      <c r="I87" s="574">
        <f t="shared" si="83"/>
        <v>12919.533285</v>
      </c>
      <c r="J87" s="574"/>
      <c r="K87" s="427">
        <f t="shared" ref="K87:O87" si="86">(K$69+K$78+K$82)*1.45%</f>
        <v>15292.183284999999</v>
      </c>
      <c r="L87" s="381">
        <f t="shared" si="86"/>
        <v>12734.332533549999</v>
      </c>
      <c r="M87" s="381">
        <f t="shared" si="86"/>
        <v>13116.3625095565</v>
      </c>
      <c r="N87" s="381">
        <f t="shared" si="86"/>
        <v>13509.853384843196</v>
      </c>
      <c r="O87" s="381">
        <f t="shared" si="86"/>
        <v>13915.148986388489</v>
      </c>
      <c r="P87" s="381"/>
      <c r="Q87" s="350" t="s">
        <v>178</v>
      </c>
    </row>
    <row r="88" spans="1:18" hidden="1" outlineLevel="1">
      <c r="A88" s="371" t="s">
        <v>424</v>
      </c>
      <c r="B88" s="598">
        <f>0</f>
        <v>0</v>
      </c>
      <c r="C88" s="598"/>
      <c r="D88" s="574">
        <v>0</v>
      </c>
      <c r="E88" s="667"/>
      <c r="F88" s="574"/>
      <c r="G88" s="738">
        <f t="shared" si="81"/>
        <v>0</v>
      </c>
      <c r="H88" s="644"/>
      <c r="I88" s="574"/>
      <c r="J88" s="574"/>
      <c r="K88" s="427">
        <f>0</f>
        <v>0</v>
      </c>
      <c r="L88" s="381">
        <f>0</f>
        <v>0</v>
      </c>
      <c r="M88" s="381">
        <f>0</f>
        <v>0</v>
      </c>
      <c r="N88" s="381">
        <f>0</f>
        <v>0</v>
      </c>
      <c r="O88" s="381">
        <f>0</f>
        <v>0</v>
      </c>
      <c r="P88" s="381"/>
      <c r="Q88" s="350"/>
    </row>
    <row r="89" spans="1:18" hidden="1" outlineLevel="1">
      <c r="A89" s="371" t="s">
        <v>425</v>
      </c>
      <c r="B89" s="598">
        <f>0</f>
        <v>0</v>
      </c>
      <c r="C89" s="598"/>
      <c r="D89" s="574">
        <v>0</v>
      </c>
      <c r="E89" s="667"/>
      <c r="F89" s="574"/>
      <c r="G89" s="738">
        <f t="shared" si="81"/>
        <v>0</v>
      </c>
      <c r="H89" s="644"/>
      <c r="I89" s="574"/>
      <c r="J89" s="574"/>
      <c r="K89" s="427">
        <f>0</f>
        <v>0</v>
      </c>
      <c r="L89" s="381">
        <f>0</f>
        <v>0</v>
      </c>
      <c r="M89" s="381">
        <f>0</f>
        <v>0</v>
      </c>
      <c r="N89" s="381">
        <f>0</f>
        <v>0</v>
      </c>
      <c r="O89" s="381">
        <f>0</f>
        <v>0</v>
      </c>
      <c r="P89" s="381"/>
      <c r="Q89" s="350"/>
    </row>
    <row r="90" spans="1:18" hidden="1" outlineLevel="1">
      <c r="A90" s="371" t="s">
        <v>426</v>
      </c>
      <c r="B90" s="598">
        <f>0</f>
        <v>0</v>
      </c>
      <c r="C90" s="598"/>
      <c r="D90" s="574">
        <v>0</v>
      </c>
      <c r="E90" s="667"/>
      <c r="F90" s="574"/>
      <c r="G90" s="738">
        <f t="shared" si="81"/>
        <v>0</v>
      </c>
      <c r="H90" s="644"/>
      <c r="I90" s="574"/>
      <c r="J90" s="574"/>
      <c r="K90" s="427">
        <f>0</f>
        <v>0</v>
      </c>
      <c r="L90" s="381">
        <f>0</f>
        <v>0</v>
      </c>
      <c r="M90" s="381">
        <f>0</f>
        <v>0</v>
      </c>
      <c r="N90" s="381">
        <f>0</f>
        <v>0</v>
      </c>
      <c r="O90" s="381">
        <f>0</f>
        <v>0</v>
      </c>
      <c r="P90" s="381"/>
      <c r="Q90" s="350"/>
    </row>
    <row r="91" spans="1:18" hidden="1" outlineLevel="1">
      <c r="A91" s="371" t="s">
        <v>427</v>
      </c>
      <c r="B91" s="598">
        <f>0</f>
        <v>0</v>
      </c>
      <c r="C91" s="598"/>
      <c r="D91" s="574">
        <v>0</v>
      </c>
      <c r="E91" s="667"/>
      <c r="F91" s="574"/>
      <c r="G91" s="738">
        <f t="shared" si="81"/>
        <v>0</v>
      </c>
      <c r="H91" s="644"/>
      <c r="I91" s="574"/>
      <c r="J91" s="574"/>
      <c r="K91" s="427">
        <f>0</f>
        <v>0</v>
      </c>
      <c r="L91" s="381">
        <f>0</f>
        <v>0</v>
      </c>
      <c r="M91" s="381">
        <f>0</f>
        <v>0</v>
      </c>
      <c r="N91" s="381">
        <f>0</f>
        <v>0</v>
      </c>
      <c r="O91" s="381">
        <f>0</f>
        <v>0</v>
      </c>
      <c r="P91" s="381"/>
      <c r="Q91" s="350"/>
    </row>
    <row r="92" spans="1:18" hidden="1" outlineLevel="1">
      <c r="A92" s="371" t="s">
        <v>428</v>
      </c>
      <c r="B92" s="598">
        <f>0</f>
        <v>0</v>
      </c>
      <c r="C92" s="598"/>
      <c r="D92" s="574">
        <v>0</v>
      </c>
      <c r="E92" s="667"/>
      <c r="F92" s="574"/>
      <c r="G92" s="738">
        <f t="shared" si="81"/>
        <v>0</v>
      </c>
      <c r="H92" s="644"/>
      <c r="I92" s="574"/>
      <c r="J92" s="574"/>
      <c r="K92" s="427">
        <f>0</f>
        <v>0</v>
      </c>
      <c r="L92" s="381">
        <f>0</f>
        <v>0</v>
      </c>
      <c r="M92" s="381">
        <f>0</f>
        <v>0</v>
      </c>
      <c r="N92" s="381">
        <f>0</f>
        <v>0</v>
      </c>
      <c r="O92" s="381">
        <f>0</f>
        <v>0</v>
      </c>
      <c r="P92" s="381"/>
      <c r="Q92" s="350"/>
    </row>
    <row r="93" spans="1:18" collapsed="1">
      <c r="A93" s="371" t="s">
        <v>429</v>
      </c>
      <c r="B93" s="598"/>
      <c r="C93" s="598">
        <v>-79.489999999999995</v>
      </c>
      <c r="D93" s="574">
        <v>1000</v>
      </c>
      <c r="E93" s="667">
        <v>302.08</v>
      </c>
      <c r="F93" s="574">
        <v>1000</v>
      </c>
      <c r="G93" s="738">
        <f t="shared" si="81"/>
        <v>1000</v>
      </c>
      <c r="H93" s="644">
        <f>E93/G93</f>
        <v>0.30207999999999996</v>
      </c>
      <c r="I93" s="574">
        <f>G93-E93</f>
        <v>697.92000000000007</v>
      </c>
      <c r="J93" s="574"/>
      <c r="K93" s="427">
        <v>2500</v>
      </c>
      <c r="L93" s="381"/>
      <c r="M93" s="381"/>
      <c r="N93" s="381"/>
      <c r="O93" s="381"/>
      <c r="P93" s="381"/>
      <c r="Q93" s="350"/>
    </row>
    <row r="94" spans="1:18">
      <c r="A94" s="371" t="s">
        <v>430</v>
      </c>
      <c r="B94" s="596"/>
      <c r="C94" s="596"/>
      <c r="D94" s="597"/>
      <c r="E94" s="666"/>
      <c r="F94" s="597"/>
      <c r="G94" s="737">
        <f t="shared" si="81"/>
        <v>0</v>
      </c>
      <c r="H94" s="645"/>
      <c r="I94" s="597"/>
      <c r="J94" s="597"/>
      <c r="K94" s="425"/>
      <c r="L94" s="374"/>
      <c r="M94" s="374"/>
      <c r="N94" s="374"/>
      <c r="O94" s="374"/>
      <c r="P94" s="374"/>
      <c r="Q94" s="350"/>
    </row>
    <row r="95" spans="1:18">
      <c r="A95" s="371" t="s">
        <v>431</v>
      </c>
      <c r="B95" s="593">
        <v>0</v>
      </c>
      <c r="C95" s="593">
        <v>-1.66</v>
      </c>
      <c r="D95" s="594">
        <v>0</v>
      </c>
      <c r="E95" s="716">
        <v>-158.5</v>
      </c>
      <c r="F95" s="594">
        <v>0</v>
      </c>
      <c r="G95" s="739">
        <f t="shared" si="81"/>
        <v>0</v>
      </c>
      <c r="H95" s="644"/>
      <c r="I95" s="594"/>
      <c r="J95" s="594"/>
      <c r="K95" s="427">
        <v>1</v>
      </c>
      <c r="L95" s="381">
        <v>1</v>
      </c>
      <c r="M95" s="381">
        <v>2</v>
      </c>
      <c r="N95" s="381">
        <v>3</v>
      </c>
      <c r="O95" s="381">
        <v>4</v>
      </c>
      <c r="P95" s="381"/>
      <c r="Q95" s="350"/>
    </row>
    <row r="96" spans="1:18">
      <c r="A96" s="377" t="s">
        <v>432</v>
      </c>
      <c r="B96" s="565">
        <f t="shared" ref="B96:F96" si="87">((((((((((((B83)+(B84))+(B85))+(B86))+(B87))+(B88))+(B89))+(B90))+(B91))+(B92))+(B93))+(B94))+(B95)</f>
        <v>14304</v>
      </c>
      <c r="C96" s="565">
        <f t="shared" si="87"/>
        <v>13482.57</v>
      </c>
      <c r="D96" s="565">
        <f t="shared" si="87"/>
        <v>101279.45000000001</v>
      </c>
      <c r="E96" s="565">
        <f t="shared" si="87"/>
        <v>18578.72</v>
      </c>
      <c r="F96" s="568">
        <f t="shared" si="87"/>
        <v>93653.033044999989</v>
      </c>
      <c r="G96" s="568">
        <f>SUM(G84:G95)</f>
        <v>93653.033044999989</v>
      </c>
      <c r="H96" s="646">
        <f>E96/F96</f>
        <v>0.19837819871859338</v>
      </c>
      <c r="I96" s="568">
        <f>((((((((((((I83)+(I84))+(I85))+(I86))+(I87))+(I88))+(I89))+(I90))+(I91))+(I92))+(I93))+(I94))+(I95)</f>
        <v>74915.813045000003</v>
      </c>
      <c r="J96" s="568"/>
      <c r="K96" s="426">
        <f t="shared" ref="K96" si="88">((((((((((((K83)+(K84))+(K85))+(K86))+(K87))+(K88))+(K89))+(K90))+(K91))+(K92))+(K93))+(K94))+(K95)</f>
        <v>93726.783045000018</v>
      </c>
      <c r="L96" s="378">
        <f t="shared" ref="L96:O96" si="89">((((((((((((L83)+(L84))+(L85))+(L86))+(L87))+(L88))+(L89))+(L90))+(L91))+(L92))+(L93))+(L94))+(L95)</f>
        <v>75967.880286350002</v>
      </c>
      <c r="M96" s="378">
        <f t="shared" si="89"/>
        <v>78247.886694940506</v>
      </c>
      <c r="N96" s="378">
        <f t="shared" si="89"/>
        <v>80596.263295788725</v>
      </c>
      <c r="O96" s="378">
        <f t="shared" si="89"/>
        <v>83015.061194662369</v>
      </c>
      <c r="P96" s="378"/>
      <c r="Q96" s="351"/>
    </row>
    <row r="97" spans="1:17">
      <c r="A97" s="371" t="s">
        <v>443</v>
      </c>
      <c r="B97" s="596"/>
      <c r="C97" s="596"/>
      <c r="D97" s="597"/>
      <c r="E97" s="666"/>
      <c r="F97" s="597"/>
      <c r="G97" s="737"/>
      <c r="H97" s="645"/>
      <c r="I97" s="597"/>
      <c r="J97" s="597"/>
      <c r="K97" s="424"/>
      <c r="L97" s="350"/>
      <c r="M97" s="350"/>
      <c r="N97" s="350"/>
      <c r="O97" s="350"/>
      <c r="P97" s="350"/>
      <c r="Q97" s="350"/>
    </row>
    <row r="98" spans="1:17">
      <c r="A98" s="371" t="s">
        <v>444</v>
      </c>
      <c r="B98" s="596">
        <v>11375</v>
      </c>
      <c r="C98" s="596">
        <v>7498.83</v>
      </c>
      <c r="D98" s="597">
        <v>192384</v>
      </c>
      <c r="E98" s="666">
        <f>12420.24+455+152</f>
        <v>13027.24</v>
      </c>
      <c r="F98" s="597">
        <f>'Benefits (Little Bird)'!T24+10297.19</f>
        <v>91590.796999999991</v>
      </c>
      <c r="G98" s="737">
        <f t="shared" ref="G98:G104" si="90">F98</f>
        <v>91590.796999999991</v>
      </c>
      <c r="H98" s="645">
        <f>E98/G98</f>
        <v>0.14223306736811125</v>
      </c>
      <c r="I98" s="597">
        <f>G98-E98</f>
        <v>78563.556999999986</v>
      </c>
      <c r="J98" s="597"/>
      <c r="K98" s="425">
        <f>((685*11*6)+(735*11*6))+((1349*3*6)+(1449*3*6))+((1935*2*6)+(2090*2*6))</f>
        <v>192384</v>
      </c>
      <c r="L98" s="374">
        <f>(685*'Staffing Detail'!L41*6)+(735*'Staffing Detail'!L41*6)</f>
        <v>178920</v>
      </c>
      <c r="M98" s="374">
        <f>(685*'Staffing Detail'!M41*6)+(735*'Staffing Detail'!M41*6)</f>
        <v>247080</v>
      </c>
      <c r="N98" s="374">
        <f>(685*'Staffing Detail'!N41*6)+(735*'Staffing Detail'!N41*6)</f>
        <v>281160</v>
      </c>
      <c r="O98" s="374">
        <f>(685*'Staffing Detail'!O41*6)+(735*'Staffing Detail'!O41*6)</f>
        <v>315240</v>
      </c>
      <c r="P98" s="374"/>
      <c r="Q98" s="376" t="s">
        <v>540</v>
      </c>
    </row>
    <row r="99" spans="1:17">
      <c r="A99" s="371" t="s">
        <v>445</v>
      </c>
      <c r="B99" s="598"/>
      <c r="C99" s="598">
        <v>446.49</v>
      </c>
      <c r="D99" s="574"/>
      <c r="E99" s="667"/>
      <c r="F99" s="574"/>
      <c r="G99" s="738">
        <f t="shared" si="90"/>
        <v>0</v>
      </c>
      <c r="H99" s="644"/>
      <c r="I99" s="574"/>
      <c r="J99" s="574"/>
      <c r="K99" s="424"/>
      <c r="L99" s="350"/>
      <c r="M99" s="350"/>
      <c r="N99" s="350"/>
      <c r="O99" s="350"/>
      <c r="P99" s="350"/>
      <c r="Q99" s="350" t="s">
        <v>273</v>
      </c>
    </row>
    <row r="100" spans="1:17">
      <c r="A100" s="371" t="s">
        <v>446</v>
      </c>
      <c r="B100" s="596"/>
      <c r="C100" s="596">
        <v>103.32</v>
      </c>
      <c r="D100" s="597"/>
      <c r="E100" s="666"/>
      <c r="F100" s="597"/>
      <c r="G100" s="737">
        <f t="shared" si="90"/>
        <v>0</v>
      </c>
      <c r="H100" s="645"/>
      <c r="I100" s="597"/>
      <c r="J100" s="597"/>
      <c r="K100" s="424"/>
      <c r="L100" s="350"/>
      <c r="M100" s="350"/>
      <c r="N100" s="350"/>
      <c r="O100" s="350"/>
      <c r="P100" s="350"/>
      <c r="Q100" s="350" t="s">
        <v>273</v>
      </c>
    </row>
    <row r="101" spans="1:17">
      <c r="A101" s="395" t="s">
        <v>447</v>
      </c>
      <c r="B101" s="600">
        <v>1688</v>
      </c>
      <c r="C101" s="600"/>
      <c r="D101" s="574">
        <v>10368</v>
      </c>
      <c r="E101" s="667"/>
      <c r="F101" s="574">
        <v>10368</v>
      </c>
      <c r="G101" s="738">
        <f t="shared" si="90"/>
        <v>10368</v>
      </c>
      <c r="H101" s="644">
        <f t="shared" ref="H101:H102" si="91">E101/G101</f>
        <v>0</v>
      </c>
      <c r="I101" s="574">
        <f>G101-E101</f>
        <v>10368</v>
      </c>
      <c r="J101" s="574"/>
      <c r="K101" s="427">
        <v>10368</v>
      </c>
      <c r="L101" s="404">
        <f t="shared" ref="L101:O101" si="92">(L$69+L$78+L$82)*1%</f>
        <v>8782.298299</v>
      </c>
      <c r="M101" s="404">
        <f t="shared" si="92"/>
        <v>9045.7672479700013</v>
      </c>
      <c r="N101" s="404">
        <f t="shared" si="92"/>
        <v>9317.1402654091016</v>
      </c>
      <c r="O101" s="404">
        <f t="shared" si="92"/>
        <v>9596.6544733713727</v>
      </c>
      <c r="P101" s="404"/>
      <c r="Q101" s="354" t="s">
        <v>686</v>
      </c>
    </row>
    <row r="102" spans="1:17" ht="28.7">
      <c r="A102" s="371" t="s">
        <v>943</v>
      </c>
      <c r="B102" s="596"/>
      <c r="C102" s="596">
        <v>631.58000000000004</v>
      </c>
      <c r="D102" s="597">
        <v>11339.437769230768</v>
      </c>
      <c r="E102" s="666">
        <f>1917.88+261.75+49.31+114.95+692.25</f>
        <v>3036.14</v>
      </c>
      <c r="F102" s="597">
        <f>'Benefits (Little Bird)'!T46+'Benefits (Little Bird)'!T68+'Benefits (Little Bird)'!T87</f>
        <v>10600.962000000001</v>
      </c>
      <c r="G102" s="737">
        <f t="shared" si="90"/>
        <v>10600.962000000001</v>
      </c>
      <c r="H102" s="645">
        <f t="shared" si="91"/>
        <v>0.28640230952624862</v>
      </c>
      <c r="I102" s="597">
        <f>G102-E102</f>
        <v>7564.8220000000019</v>
      </c>
      <c r="J102" s="597"/>
      <c r="K102" s="425">
        <f>'Little Bird'!X34</f>
        <v>11270.073255315385</v>
      </c>
      <c r="L102" s="374">
        <v>17000</v>
      </c>
      <c r="M102" s="374">
        <v>20000</v>
      </c>
      <c r="N102" s="374">
        <v>23000</v>
      </c>
      <c r="O102" s="374">
        <v>26000</v>
      </c>
      <c r="P102" s="374"/>
      <c r="Q102" s="350" t="s">
        <v>346</v>
      </c>
    </row>
    <row r="103" spans="1:17">
      <c r="A103" s="371" t="s">
        <v>449</v>
      </c>
      <c r="B103" s="596"/>
      <c r="C103" s="596"/>
      <c r="D103" s="597"/>
      <c r="E103" s="666"/>
      <c r="F103" s="597"/>
      <c r="G103" s="737">
        <f t="shared" si="90"/>
        <v>0</v>
      </c>
      <c r="H103" s="645"/>
      <c r="I103" s="597">
        <f t="shared" ref="I103" si="93">F103-E103</f>
        <v>0</v>
      </c>
      <c r="J103" s="597"/>
      <c r="K103" s="424"/>
      <c r="L103" s="350"/>
      <c r="M103" s="350"/>
      <c r="N103" s="350"/>
      <c r="O103" s="350"/>
      <c r="P103" s="350"/>
      <c r="Q103" s="350" t="s">
        <v>273</v>
      </c>
    </row>
    <row r="104" spans="1:17">
      <c r="A104" s="371" t="s">
        <v>450</v>
      </c>
      <c r="B104" s="596"/>
      <c r="C104" s="596">
        <v>264</v>
      </c>
      <c r="D104" s="597"/>
      <c r="E104" s="666">
        <v>-196.47</v>
      </c>
      <c r="F104" s="597"/>
      <c r="G104" s="737">
        <f t="shared" si="90"/>
        <v>0</v>
      </c>
      <c r="H104" s="645"/>
      <c r="I104" s="597">
        <f>G104-E104</f>
        <v>196.47</v>
      </c>
      <c r="J104" s="597"/>
      <c r="K104" s="424"/>
      <c r="L104" s="350"/>
      <c r="M104" s="350"/>
      <c r="N104" s="350"/>
      <c r="O104" s="350"/>
      <c r="P104" s="350"/>
      <c r="Q104" s="350"/>
    </row>
    <row r="105" spans="1:17">
      <c r="A105" s="377" t="s">
        <v>451</v>
      </c>
      <c r="B105" s="565">
        <f t="shared" ref="B105:F105" si="94">(((((((B97)+(B98))+(B99))+(B100))+(B101))+(B102))+(B103))+(B104)</f>
        <v>13063</v>
      </c>
      <c r="C105" s="565">
        <f t="shared" si="94"/>
        <v>8944.2199999999993</v>
      </c>
      <c r="D105" s="565">
        <f t="shared" si="94"/>
        <v>214091.43776923078</v>
      </c>
      <c r="E105" s="565">
        <f t="shared" si="94"/>
        <v>15866.91</v>
      </c>
      <c r="F105" s="568">
        <f t="shared" si="94"/>
        <v>112559.75899999999</v>
      </c>
      <c r="G105" s="568">
        <f>SUM(G98:G104)</f>
        <v>112559.75899999999</v>
      </c>
      <c r="H105" s="646">
        <f>E105/F105</f>
        <v>0.14096432100569797</v>
      </c>
      <c r="I105" s="568">
        <f>(((((((I97)+(I98))+(I99))+(I100))+(I101))+(I102))+(I103))+(I104)</f>
        <v>96692.848999999987</v>
      </c>
      <c r="J105" s="568"/>
      <c r="K105" s="426">
        <f t="shared" ref="K105" si="95">(((((((K97)+(K98))+(K99))+(K100))+(K101))+(K102))+(K103))+(K104)</f>
        <v>214022.07325531539</v>
      </c>
      <c r="L105" s="378">
        <f t="shared" ref="L105:O105" si="96">(((((((L97)+(L98))+(L99))+(L100))+(L101))+(L102))+(L103))+(L104)</f>
        <v>204702.29829899999</v>
      </c>
      <c r="M105" s="378">
        <f t="shared" si="96"/>
        <v>276125.76724796998</v>
      </c>
      <c r="N105" s="378">
        <f t="shared" si="96"/>
        <v>313477.14026540908</v>
      </c>
      <c r="O105" s="378">
        <f t="shared" si="96"/>
        <v>350836.6544733714</v>
      </c>
      <c r="P105" s="378"/>
      <c r="Q105" s="351"/>
    </row>
    <row r="106" spans="1:17">
      <c r="A106" s="371" t="s">
        <v>433</v>
      </c>
      <c r="B106" s="596"/>
      <c r="C106" s="596"/>
      <c r="D106" s="597"/>
      <c r="E106" s="666"/>
      <c r="F106" s="597"/>
      <c r="G106" s="737"/>
      <c r="H106" s="645"/>
      <c r="I106" s="597"/>
      <c r="J106" s="597"/>
      <c r="K106" s="424"/>
      <c r="L106" s="350"/>
      <c r="M106" s="350"/>
      <c r="N106" s="350"/>
      <c r="O106" s="350"/>
      <c r="P106" s="350"/>
      <c r="Q106" s="350"/>
    </row>
    <row r="107" spans="1:17">
      <c r="A107" s="371" t="s">
        <v>434</v>
      </c>
      <c r="B107" s="596"/>
      <c r="C107" s="596"/>
      <c r="D107" s="597"/>
      <c r="E107" s="666"/>
      <c r="F107" s="597"/>
      <c r="G107" s="737">
        <f t="shared" ref="G107:G109" si="97">F107</f>
        <v>0</v>
      </c>
      <c r="H107" s="645"/>
      <c r="I107" s="597"/>
      <c r="J107" s="597"/>
      <c r="K107" s="425">
        <v>0</v>
      </c>
      <c r="L107" s="374">
        <v>3001</v>
      </c>
      <c r="M107" s="374">
        <v>3002</v>
      </c>
      <c r="N107" s="374">
        <v>3003</v>
      </c>
      <c r="O107" s="374">
        <v>3004</v>
      </c>
      <c r="P107" s="374"/>
      <c r="Q107" s="350" t="s">
        <v>347</v>
      </c>
    </row>
    <row r="108" spans="1:17">
      <c r="A108" s="371" t="s">
        <v>435</v>
      </c>
      <c r="B108" s="598"/>
      <c r="C108" s="598"/>
      <c r="D108" s="574"/>
      <c r="E108" s="667"/>
      <c r="F108" s="574"/>
      <c r="G108" s="738">
        <f t="shared" si="97"/>
        <v>0</v>
      </c>
      <c r="H108" s="644"/>
      <c r="I108" s="574"/>
      <c r="J108" s="574"/>
      <c r="K108" s="427">
        <v>0</v>
      </c>
      <c r="L108" s="381">
        <f t="shared" ref="L108:O108" si="98">(L$69+L$78+L$82)*3%</f>
        <v>26346.894896999998</v>
      </c>
      <c r="M108" s="381">
        <f t="shared" si="98"/>
        <v>27137.30174391</v>
      </c>
      <c r="N108" s="381">
        <f t="shared" si="98"/>
        <v>27951.420796227303</v>
      </c>
      <c r="O108" s="381">
        <f t="shared" si="98"/>
        <v>28789.963420114116</v>
      </c>
      <c r="P108" s="381"/>
      <c r="Q108" s="350"/>
    </row>
    <row r="109" spans="1:17">
      <c r="A109" s="371" t="s">
        <v>436</v>
      </c>
      <c r="B109" s="596"/>
      <c r="C109" s="596"/>
      <c r="D109" s="597"/>
      <c r="E109" s="666"/>
      <c r="F109" s="597"/>
      <c r="G109" s="737">
        <f t="shared" si="97"/>
        <v>0</v>
      </c>
      <c r="H109" s="645"/>
      <c r="I109" s="597"/>
      <c r="J109" s="597"/>
      <c r="K109" s="424"/>
      <c r="L109" s="350"/>
      <c r="M109" s="350"/>
      <c r="N109" s="350"/>
      <c r="O109" s="350"/>
      <c r="P109" s="350"/>
      <c r="Q109" s="350"/>
    </row>
    <row r="110" spans="1:17">
      <c r="A110" s="377" t="s">
        <v>437</v>
      </c>
      <c r="B110" s="565">
        <f>(((B106)+(B107))+(B108))+(B109)</f>
        <v>0</v>
      </c>
      <c r="C110" s="565">
        <f>(((C106)+(C107))+(C108))+(C109)</f>
        <v>0</v>
      </c>
      <c r="D110" s="565"/>
      <c r="E110" s="565"/>
      <c r="F110" s="568">
        <f>(((F106)+(F107))+(F108))+(F109)</f>
        <v>0</v>
      </c>
      <c r="G110" s="568">
        <f>SUM(G107:G109)</f>
        <v>0</v>
      </c>
      <c r="H110" s="646"/>
      <c r="I110" s="568">
        <f>(((I106)+(I107))+(I108))+(I109)</f>
        <v>0</v>
      </c>
      <c r="J110" s="568"/>
      <c r="K110" s="426">
        <f t="shared" ref="K110" si="99">(((K106)+(K107))+(K108))+(K109)</f>
        <v>0</v>
      </c>
      <c r="L110" s="378">
        <f t="shared" ref="L110:O110" si="100">(((L106)+(L107))+(L108))+(L109)</f>
        <v>29347.894896999998</v>
      </c>
      <c r="M110" s="378">
        <f t="shared" si="100"/>
        <v>30139.30174391</v>
      </c>
      <c r="N110" s="378">
        <f t="shared" si="100"/>
        <v>30954.420796227303</v>
      </c>
      <c r="O110" s="378">
        <f t="shared" si="100"/>
        <v>31793.963420114116</v>
      </c>
      <c r="P110" s="378"/>
      <c r="Q110" s="351"/>
    </row>
    <row r="111" spans="1:17">
      <c r="A111" s="382" t="s">
        <v>438</v>
      </c>
      <c r="B111" s="590">
        <f t="shared" ref="B111:G111" si="101">((((((B56)+(B69))+(B78))+(B82))+(B96))+(B105))+(B110)</f>
        <v>196117</v>
      </c>
      <c r="C111" s="590">
        <f t="shared" si="101"/>
        <v>172078.5</v>
      </c>
      <c r="D111" s="590">
        <f t="shared" si="101"/>
        <v>1474670.8877692306</v>
      </c>
      <c r="E111" s="590">
        <f t="shared" si="101"/>
        <v>216378.23999999999</v>
      </c>
      <c r="F111" s="591">
        <f t="shared" si="101"/>
        <v>1277346.1220450001</v>
      </c>
      <c r="G111" s="591">
        <f t="shared" si="101"/>
        <v>1277346.1220450001</v>
      </c>
      <c r="H111" s="647">
        <f>E111/F111</f>
        <v>0.16939671735455986</v>
      </c>
      <c r="I111" s="591">
        <f>((((((I56)+(I69))+(I78))+(I82))+(I96))+(I105))+(I110)</f>
        <v>1060809.3820449999</v>
      </c>
      <c r="J111" s="591"/>
      <c r="K111" s="426">
        <f t="shared" ref="K111" si="102">((((((K56)+(K69))+(K78))+(K82))+(K96))+(K105))+(K110)</f>
        <v>1362382.1863003154</v>
      </c>
      <c r="L111" s="383">
        <f t="shared" ref="L111:O111" si="103">((((((L56)+(L69))+(L78))+(L82))+(L96))+(L105))+(L110)</f>
        <v>1188247.90338235</v>
      </c>
      <c r="M111" s="383">
        <f t="shared" si="103"/>
        <v>1289089.6804838206</v>
      </c>
      <c r="N111" s="383">
        <f t="shared" si="103"/>
        <v>1356741.8508983355</v>
      </c>
      <c r="O111" s="383">
        <f t="shared" si="103"/>
        <v>1425311.1264252849</v>
      </c>
      <c r="P111" s="383"/>
      <c r="Q111" s="391">
        <f>F111/(F232-950204.88)</f>
        <v>0.4831932492447707</v>
      </c>
    </row>
    <row r="112" spans="1:17">
      <c r="A112" s="371" t="s">
        <v>32</v>
      </c>
      <c r="B112" s="596"/>
      <c r="C112" s="596"/>
      <c r="D112" s="597"/>
      <c r="E112" s="666"/>
      <c r="F112" s="597"/>
      <c r="G112" s="737"/>
      <c r="H112" s="645"/>
      <c r="I112" s="597"/>
      <c r="J112" s="597"/>
      <c r="K112" s="424"/>
      <c r="L112" s="350"/>
      <c r="M112" s="350"/>
      <c r="N112" s="350"/>
      <c r="O112" s="350"/>
      <c r="P112" s="350"/>
      <c r="Q112" s="350"/>
    </row>
    <row r="113" spans="1:25">
      <c r="A113" s="371" t="s">
        <v>452</v>
      </c>
      <c r="B113" s="596">
        <v>4900</v>
      </c>
      <c r="C113" s="596">
        <v>2000</v>
      </c>
      <c r="D113" s="597">
        <v>23000</v>
      </c>
      <c r="E113" s="666"/>
      <c r="F113" s="597">
        <v>23000</v>
      </c>
      <c r="G113" s="737">
        <f t="shared" ref="G113:G125" si="104">F113</f>
        <v>23000</v>
      </c>
      <c r="H113" s="645">
        <f t="shared" ref="H113:H116" si="105">E113/G113</f>
        <v>0</v>
      </c>
      <c r="I113" s="597">
        <f t="shared" ref="I113:I116" si="106">G113-E113</f>
        <v>23000</v>
      </c>
      <c r="J113" s="597"/>
      <c r="K113" s="425">
        <f>F113</f>
        <v>23000</v>
      </c>
      <c r="L113" s="374">
        <f>F113*1.03</f>
        <v>23690</v>
      </c>
      <c r="M113" s="374">
        <f t="shared" ref="M113:O113" si="107">L113*1.03</f>
        <v>24400.7</v>
      </c>
      <c r="N113" s="374">
        <f t="shared" si="107"/>
        <v>25132.721000000001</v>
      </c>
      <c r="O113" s="374">
        <f t="shared" si="107"/>
        <v>25886.702630000003</v>
      </c>
      <c r="P113" s="374"/>
      <c r="Q113" s="350" t="s">
        <v>391</v>
      </c>
    </row>
    <row r="114" spans="1:25">
      <c r="A114" s="371" t="s">
        <v>33</v>
      </c>
      <c r="B114" s="598">
        <v>1680</v>
      </c>
      <c r="C114" s="598">
        <v>671.19</v>
      </c>
      <c r="D114" s="574">
        <v>20160</v>
      </c>
      <c r="E114" s="667">
        <v>3255</v>
      </c>
      <c r="F114" s="574">
        <f>105*'Staffing Detail'!L41*12</f>
        <v>26460</v>
      </c>
      <c r="G114" s="738">
        <f t="shared" si="104"/>
        <v>26460</v>
      </c>
      <c r="H114" s="644">
        <f t="shared" si="105"/>
        <v>0.12301587301587301</v>
      </c>
      <c r="I114" s="574">
        <f t="shared" si="106"/>
        <v>23205</v>
      </c>
      <c r="J114" s="574"/>
      <c r="K114" s="425">
        <f t="shared" ref="K114:K124" si="108">F114</f>
        <v>26460</v>
      </c>
      <c r="L114" s="381">
        <f>105*'Staffing Detail'!M41*12</f>
        <v>36540</v>
      </c>
      <c r="M114" s="381">
        <f>105*'Staffing Detail'!N41*12</f>
        <v>41580</v>
      </c>
      <c r="N114" s="381">
        <f>105*'Staffing Detail'!O41*12</f>
        <v>46620</v>
      </c>
      <c r="O114" s="381">
        <f>105*'Staffing Detail'!P41*12</f>
        <v>51660</v>
      </c>
      <c r="P114" s="381"/>
      <c r="Q114" s="350" t="str">
        <f>"PEO fee (105), based on "&amp;'Staffing Detail'!L41&amp;" staff"</f>
        <v>PEO fee (105), based on 21 staff</v>
      </c>
    </row>
    <row r="115" spans="1:25">
      <c r="A115" s="371" t="s">
        <v>34</v>
      </c>
      <c r="B115" s="598">
        <v>24999</v>
      </c>
      <c r="C115" s="598">
        <v>25000</v>
      </c>
      <c r="D115" s="574">
        <v>109530</v>
      </c>
      <c r="E115" s="667">
        <v>12818.3</v>
      </c>
      <c r="F115" s="574">
        <f>127530-F119-7500-39530</f>
        <v>70000</v>
      </c>
      <c r="G115" s="738">
        <f t="shared" si="104"/>
        <v>70000</v>
      </c>
      <c r="H115" s="644">
        <f t="shared" si="105"/>
        <v>0.18311857142857141</v>
      </c>
      <c r="I115" s="574">
        <f t="shared" si="106"/>
        <v>57181.7</v>
      </c>
      <c r="J115" s="574"/>
      <c r="K115" s="425">
        <v>60000</v>
      </c>
      <c r="L115" s="374">
        <f t="shared" ref="L115:L126" si="109">F115*1.03</f>
        <v>72100</v>
      </c>
      <c r="M115" s="374">
        <f t="shared" ref="M115:O126" si="110">L115*1.03</f>
        <v>74263</v>
      </c>
      <c r="N115" s="374">
        <f t="shared" si="110"/>
        <v>76490.89</v>
      </c>
      <c r="O115" s="374">
        <f t="shared" si="110"/>
        <v>78785.616699999999</v>
      </c>
      <c r="P115" s="374"/>
      <c r="Q115" s="350" t="s">
        <v>181</v>
      </c>
    </row>
    <row r="116" spans="1:25">
      <c r="A116" s="371" t="s">
        <v>35</v>
      </c>
      <c r="B116" s="598">
        <v>5000</v>
      </c>
      <c r="C116" s="598">
        <v>475</v>
      </c>
      <c r="D116" s="574">
        <v>10000</v>
      </c>
      <c r="E116" s="667"/>
      <c r="F116" s="574">
        <v>10000</v>
      </c>
      <c r="G116" s="738">
        <f t="shared" si="104"/>
        <v>10000</v>
      </c>
      <c r="H116" s="644">
        <f t="shared" si="105"/>
        <v>0</v>
      </c>
      <c r="I116" s="574">
        <f t="shared" si="106"/>
        <v>10000</v>
      </c>
      <c r="J116" s="574"/>
      <c r="K116" s="425">
        <f t="shared" si="108"/>
        <v>10000</v>
      </c>
      <c r="L116" s="374">
        <f t="shared" si="109"/>
        <v>10300</v>
      </c>
      <c r="M116" s="374">
        <f t="shared" si="110"/>
        <v>10609</v>
      </c>
      <c r="N116" s="374">
        <f t="shared" si="110"/>
        <v>10927.27</v>
      </c>
      <c r="O116" s="374">
        <f t="shared" si="110"/>
        <v>11255.088100000001</v>
      </c>
      <c r="P116" s="374"/>
      <c r="Q116" s="350" t="s">
        <v>348</v>
      </c>
    </row>
    <row r="117" spans="1:25">
      <c r="A117" s="371" t="s">
        <v>36</v>
      </c>
      <c r="B117" s="596"/>
      <c r="C117" s="596"/>
      <c r="D117" s="597">
        <v>0</v>
      </c>
      <c r="E117" s="666"/>
      <c r="F117" s="597"/>
      <c r="G117" s="737">
        <f t="shared" si="104"/>
        <v>0</v>
      </c>
      <c r="H117" s="645"/>
      <c r="I117" s="597"/>
      <c r="J117" s="597"/>
      <c r="K117" s="425">
        <f t="shared" si="108"/>
        <v>0</v>
      </c>
      <c r="L117" s="374">
        <f t="shared" si="109"/>
        <v>0</v>
      </c>
      <c r="M117" s="374">
        <f t="shared" si="110"/>
        <v>0</v>
      </c>
      <c r="N117" s="374">
        <f t="shared" si="110"/>
        <v>0</v>
      </c>
      <c r="O117" s="374">
        <f t="shared" si="110"/>
        <v>0</v>
      </c>
      <c r="P117" s="374"/>
      <c r="Q117" s="350"/>
    </row>
    <row r="118" spans="1:25">
      <c r="A118" s="375" t="s">
        <v>37</v>
      </c>
      <c r="B118" s="601"/>
      <c r="C118" s="601"/>
      <c r="D118" s="597"/>
      <c r="E118" s="666"/>
      <c r="F118" s="597"/>
      <c r="G118" s="737">
        <f t="shared" si="104"/>
        <v>0</v>
      </c>
      <c r="H118" s="645"/>
      <c r="I118" s="597"/>
      <c r="J118" s="597"/>
      <c r="K118" s="425">
        <f t="shared" si="108"/>
        <v>0</v>
      </c>
      <c r="L118" s="374">
        <f t="shared" si="109"/>
        <v>0</v>
      </c>
      <c r="M118" s="374">
        <f t="shared" si="110"/>
        <v>0</v>
      </c>
      <c r="N118" s="374">
        <f t="shared" si="110"/>
        <v>0</v>
      </c>
      <c r="O118" s="374">
        <f t="shared" si="110"/>
        <v>0</v>
      </c>
      <c r="P118" s="374"/>
      <c r="Q118" s="353"/>
    </row>
    <row r="119" spans="1:25">
      <c r="A119" s="371" t="s">
        <v>38</v>
      </c>
      <c r="B119" s="596"/>
      <c r="C119" s="596"/>
      <c r="D119" s="597">
        <v>10500</v>
      </c>
      <c r="E119" s="666"/>
      <c r="F119" s="597">
        <f>5500+5000</f>
        <v>10500</v>
      </c>
      <c r="G119" s="737">
        <f t="shared" si="104"/>
        <v>10500</v>
      </c>
      <c r="H119" s="645">
        <f t="shared" ref="H119:H120" si="111">E119/G119</f>
        <v>0</v>
      </c>
      <c r="I119" s="597">
        <f t="shared" ref="I119:I120" si="112">G119-E119</f>
        <v>10500</v>
      </c>
      <c r="J119" s="597"/>
      <c r="K119" s="425">
        <v>5000</v>
      </c>
      <c r="L119" s="374">
        <f t="shared" si="109"/>
        <v>10815</v>
      </c>
      <c r="M119" s="374">
        <f t="shared" si="110"/>
        <v>11139.45</v>
      </c>
      <c r="N119" s="374">
        <f t="shared" si="110"/>
        <v>11473.633500000002</v>
      </c>
      <c r="O119" s="374">
        <f t="shared" si="110"/>
        <v>11817.842505000002</v>
      </c>
      <c r="P119" s="374"/>
      <c r="Q119" s="350" t="s">
        <v>838</v>
      </c>
    </row>
    <row r="120" spans="1:25">
      <c r="A120" s="371" t="s">
        <v>39</v>
      </c>
      <c r="B120" s="601">
        <v>3000</v>
      </c>
      <c r="C120" s="601">
        <v>6000</v>
      </c>
      <c r="D120" s="597">
        <v>6000</v>
      </c>
      <c r="E120" s="666"/>
      <c r="F120" s="597">
        <v>6000</v>
      </c>
      <c r="G120" s="737">
        <f t="shared" si="104"/>
        <v>6000</v>
      </c>
      <c r="H120" s="645">
        <f t="shared" si="111"/>
        <v>0</v>
      </c>
      <c r="I120" s="597">
        <f t="shared" si="112"/>
        <v>6000</v>
      </c>
      <c r="J120" s="597"/>
      <c r="K120" s="425">
        <f t="shared" si="108"/>
        <v>6000</v>
      </c>
      <c r="L120" s="374">
        <f t="shared" si="109"/>
        <v>6180</v>
      </c>
      <c r="M120" s="374">
        <f t="shared" si="110"/>
        <v>6365.4000000000005</v>
      </c>
      <c r="N120" s="374">
        <f t="shared" si="110"/>
        <v>6556.362000000001</v>
      </c>
      <c r="O120" s="374">
        <f t="shared" si="110"/>
        <v>6753.0528600000016</v>
      </c>
      <c r="P120" s="374"/>
      <c r="Q120" s="353" t="s">
        <v>266</v>
      </c>
      <c r="W120" s="608"/>
      <c r="Y120" s="608">
        <f>F115-70000</f>
        <v>0</v>
      </c>
    </row>
    <row r="121" spans="1:25">
      <c r="A121" s="371" t="s">
        <v>40</v>
      </c>
      <c r="B121" s="596">
        <v>14000</v>
      </c>
      <c r="C121" s="596">
        <v>14000</v>
      </c>
      <c r="D121" s="597"/>
      <c r="E121" s="666"/>
      <c r="F121" s="597"/>
      <c r="G121" s="737">
        <f t="shared" si="104"/>
        <v>0</v>
      </c>
      <c r="H121" s="645"/>
      <c r="I121" s="597"/>
      <c r="J121" s="597"/>
      <c r="K121" s="425">
        <f t="shared" si="108"/>
        <v>0</v>
      </c>
      <c r="L121" s="374">
        <f t="shared" si="109"/>
        <v>0</v>
      </c>
      <c r="M121" s="374">
        <f t="shared" si="110"/>
        <v>0</v>
      </c>
      <c r="N121" s="374">
        <f t="shared" si="110"/>
        <v>0</v>
      </c>
      <c r="O121" s="374">
        <f t="shared" si="110"/>
        <v>0</v>
      </c>
      <c r="P121" s="374"/>
      <c r="Q121" s="350"/>
    </row>
    <row r="122" spans="1:25">
      <c r="A122" s="371" t="s">
        <v>41</v>
      </c>
      <c r="B122" s="596"/>
      <c r="C122" s="596"/>
      <c r="D122" s="597">
        <v>0</v>
      </c>
      <c r="E122" s="666"/>
      <c r="F122" s="597"/>
      <c r="G122" s="737">
        <f t="shared" si="104"/>
        <v>0</v>
      </c>
      <c r="H122" s="645"/>
      <c r="I122" s="597"/>
      <c r="J122" s="597"/>
      <c r="K122" s="425">
        <f t="shared" si="108"/>
        <v>0</v>
      </c>
      <c r="L122" s="374">
        <f t="shared" si="109"/>
        <v>0</v>
      </c>
      <c r="M122" s="374">
        <f t="shared" si="110"/>
        <v>0</v>
      </c>
      <c r="N122" s="374">
        <f t="shared" si="110"/>
        <v>0</v>
      </c>
      <c r="O122" s="374">
        <f t="shared" si="110"/>
        <v>0</v>
      </c>
      <c r="P122" s="374"/>
      <c r="Q122" s="350"/>
    </row>
    <row r="123" spans="1:25" hidden="1">
      <c r="A123" s="766" t="s">
        <v>958</v>
      </c>
      <c r="B123" s="767"/>
      <c r="C123" s="767"/>
      <c r="D123" s="768"/>
      <c r="E123" s="769"/>
      <c r="F123" s="768"/>
      <c r="G123" s="770"/>
      <c r="H123" s="771" t="e">
        <f t="shared" ref="H123" si="113">E123/G123</f>
        <v>#DIV/0!</v>
      </c>
      <c r="I123" s="768">
        <f t="shared" ref="I123:I126" si="114">G123-E123</f>
        <v>0</v>
      </c>
      <c r="J123" s="768"/>
      <c r="K123" s="772"/>
      <c r="L123" s="773"/>
      <c r="M123" s="773"/>
      <c r="N123" s="773"/>
      <c r="O123" s="773"/>
      <c r="P123" s="773"/>
      <c r="Q123" s="774"/>
    </row>
    <row r="124" spans="1:25">
      <c r="A124" s="371" t="s">
        <v>42</v>
      </c>
      <c r="B124" s="596"/>
      <c r="C124" s="596"/>
      <c r="D124" s="597">
        <v>4500</v>
      </c>
      <c r="E124" s="666"/>
      <c r="F124" s="597">
        <f>4500</f>
        <v>4500</v>
      </c>
      <c r="G124" s="737">
        <f t="shared" si="104"/>
        <v>4500</v>
      </c>
      <c r="H124" s="645">
        <f t="shared" ref="H124:H126" si="115">E124/G124</f>
        <v>0</v>
      </c>
      <c r="I124" s="597">
        <f t="shared" si="114"/>
        <v>4500</v>
      </c>
      <c r="J124" s="597"/>
      <c r="K124" s="425">
        <f t="shared" si="108"/>
        <v>4500</v>
      </c>
      <c r="L124" s="379">
        <f t="shared" si="109"/>
        <v>4635</v>
      </c>
      <c r="M124" s="379">
        <f t="shared" si="110"/>
        <v>4774.05</v>
      </c>
      <c r="N124" s="379">
        <f t="shared" si="110"/>
        <v>4917.2715000000007</v>
      </c>
      <c r="O124" s="379">
        <f t="shared" si="110"/>
        <v>5064.7896450000007</v>
      </c>
      <c r="P124" s="379"/>
      <c r="Q124" s="392" t="s">
        <v>267</v>
      </c>
    </row>
    <row r="125" spans="1:25">
      <c r="A125" s="371" t="s">
        <v>43</v>
      </c>
      <c r="B125" s="596"/>
      <c r="C125" s="596"/>
      <c r="D125" s="597">
        <v>2500</v>
      </c>
      <c r="E125" s="666"/>
      <c r="F125" s="597">
        <v>2500</v>
      </c>
      <c r="G125" s="737">
        <f t="shared" si="104"/>
        <v>2500</v>
      </c>
      <c r="H125" s="645">
        <f t="shared" si="115"/>
        <v>0</v>
      </c>
      <c r="I125" s="597">
        <f t="shared" si="114"/>
        <v>2500</v>
      </c>
      <c r="J125" s="597"/>
      <c r="K125" s="425">
        <v>15000</v>
      </c>
      <c r="L125" s="374">
        <f t="shared" si="109"/>
        <v>2575</v>
      </c>
      <c r="M125" s="374">
        <f t="shared" si="110"/>
        <v>2652.25</v>
      </c>
      <c r="N125" s="374">
        <f t="shared" si="110"/>
        <v>2731.8175000000001</v>
      </c>
      <c r="O125" s="374">
        <f t="shared" si="110"/>
        <v>2813.7720250000002</v>
      </c>
      <c r="P125" s="374"/>
      <c r="Q125" s="350" t="s">
        <v>687</v>
      </c>
    </row>
    <row r="126" spans="1:25">
      <c r="A126" s="395" t="s">
        <v>44</v>
      </c>
      <c r="B126" s="602">
        <v>10000</v>
      </c>
      <c r="C126" s="602">
        <v>6480</v>
      </c>
      <c r="D126" s="597">
        <v>103000</v>
      </c>
      <c r="E126" s="666">
        <v>5380</v>
      </c>
      <c r="F126" s="597">
        <f>103000-93000+25000</f>
        <v>35000</v>
      </c>
      <c r="G126" s="737">
        <v>5380</v>
      </c>
      <c r="H126" s="645">
        <f t="shared" si="115"/>
        <v>1</v>
      </c>
      <c r="I126" s="597">
        <f t="shared" si="114"/>
        <v>0</v>
      </c>
      <c r="J126" s="597"/>
      <c r="K126" s="425">
        <f>F126-93000</f>
        <v>-58000</v>
      </c>
      <c r="L126" s="393">
        <f t="shared" si="109"/>
        <v>36050</v>
      </c>
      <c r="M126" s="393">
        <f t="shared" si="110"/>
        <v>37131.5</v>
      </c>
      <c r="N126" s="393">
        <f t="shared" si="110"/>
        <v>38245.445</v>
      </c>
      <c r="O126" s="393">
        <f t="shared" si="110"/>
        <v>39392.808349999999</v>
      </c>
      <c r="P126" s="393"/>
      <c r="Q126" s="354" t="s">
        <v>967</v>
      </c>
    </row>
    <row r="127" spans="1:25">
      <c r="A127" s="377" t="s">
        <v>45</v>
      </c>
      <c r="B127" s="565">
        <f t="shared" ref="B127:F127" si="116">(((((((((((((B112)+(B113))+(B114))+(B115))+(B116))+(B117))+(B118))+(B119))+(B120))+(B121))+(B122))+(B124))+(B125))+(B126)</f>
        <v>63579</v>
      </c>
      <c r="C127" s="565">
        <f t="shared" si="116"/>
        <v>54626.19</v>
      </c>
      <c r="D127" s="565">
        <f t="shared" si="116"/>
        <v>289190</v>
      </c>
      <c r="E127" s="565">
        <f t="shared" si="116"/>
        <v>21453.3</v>
      </c>
      <c r="F127" s="568">
        <f t="shared" si="116"/>
        <v>187960</v>
      </c>
      <c r="G127" s="568">
        <f>SUM(G113:G126)</f>
        <v>158340</v>
      </c>
      <c r="H127" s="646">
        <f>E127/F127</f>
        <v>0.11413758246435411</v>
      </c>
      <c r="I127" s="568">
        <f>(((((((((((((I112)+(I113))+(I114))+(I115))+(I116))+(I117))+(I118))+(I119))+(I120))+(I121))+(I122))+(I124))+(I125))+(I126)</f>
        <v>136886.70000000001</v>
      </c>
      <c r="J127" s="568"/>
      <c r="K127" s="426">
        <f t="shared" ref="K127" si="117">(((((((((((((K112)+(K113))+(K114))+(K115))+(K116))+(K117))+(K118))+(K119))+(K120))+(K121))+(K122))+(K124))+(K125))+(K126)</f>
        <v>91960</v>
      </c>
      <c r="L127" s="378">
        <f t="shared" ref="L127:O127" si="118">(((((((((((((L112)+(L113))+(L114))+(L115))+(L116))+(L117))+(L118))+(L119))+(L120))+(L121))+(L122))+(L124))+(L125))+(L126)</f>
        <v>202885</v>
      </c>
      <c r="M127" s="378">
        <f t="shared" si="118"/>
        <v>212915.35</v>
      </c>
      <c r="N127" s="378">
        <f t="shared" si="118"/>
        <v>223095.4105</v>
      </c>
      <c r="O127" s="378">
        <f t="shared" si="118"/>
        <v>233429.67281500003</v>
      </c>
      <c r="P127" s="378"/>
      <c r="Q127" s="351"/>
    </row>
    <row r="128" spans="1:25">
      <c r="A128" s="371" t="s">
        <v>46</v>
      </c>
      <c r="B128" s="596"/>
      <c r="C128" s="596"/>
      <c r="D128" s="597"/>
      <c r="E128" s="666"/>
      <c r="F128" s="597"/>
      <c r="G128" s="737"/>
      <c r="H128" s="645"/>
      <c r="I128" s="597"/>
      <c r="J128" s="597"/>
      <c r="K128" s="424"/>
      <c r="L128" s="350"/>
      <c r="M128" s="350"/>
      <c r="N128" s="350"/>
      <c r="O128" s="350"/>
      <c r="P128" s="350"/>
      <c r="Q128" s="350"/>
    </row>
    <row r="129" spans="1:17">
      <c r="A129" s="371" t="s">
        <v>47</v>
      </c>
      <c r="B129" s="596">
        <v>5000</v>
      </c>
      <c r="C129" s="596"/>
      <c r="D129" s="597">
        <v>1000</v>
      </c>
      <c r="E129" s="666"/>
      <c r="F129" s="597">
        <v>1000</v>
      </c>
      <c r="G129" s="737">
        <f t="shared" ref="G129:G130" si="119">F129</f>
        <v>1000</v>
      </c>
      <c r="H129" s="645">
        <f t="shared" ref="H129:H130" si="120">E129/G129</f>
        <v>0</v>
      </c>
      <c r="I129" s="597">
        <f t="shared" ref="I129:I130" si="121">G129-E129</f>
        <v>1000</v>
      </c>
      <c r="J129" s="597"/>
      <c r="K129" s="425">
        <f t="shared" ref="K129:K130" si="122">F129</f>
        <v>1000</v>
      </c>
      <c r="L129" s="374">
        <v>1000</v>
      </c>
      <c r="M129" s="374">
        <v>1000</v>
      </c>
      <c r="N129" s="374">
        <v>1000</v>
      </c>
      <c r="O129" s="374">
        <v>1000</v>
      </c>
      <c r="P129" s="374"/>
      <c r="Q129" s="350" t="s">
        <v>269</v>
      </c>
    </row>
    <row r="130" spans="1:17">
      <c r="A130" s="371" t="s">
        <v>48</v>
      </c>
      <c r="B130" s="596"/>
      <c r="C130" s="596"/>
      <c r="D130" s="597">
        <v>2500</v>
      </c>
      <c r="E130" s="666">
        <v>833.37</v>
      </c>
      <c r="F130" s="597">
        <v>7500</v>
      </c>
      <c r="G130" s="737">
        <f t="shared" si="119"/>
        <v>7500</v>
      </c>
      <c r="H130" s="645">
        <f t="shared" si="120"/>
        <v>0.11111600000000001</v>
      </c>
      <c r="I130" s="597">
        <f t="shared" si="121"/>
        <v>6666.63</v>
      </c>
      <c r="J130" s="597"/>
      <c r="K130" s="425">
        <f t="shared" si="122"/>
        <v>7500</v>
      </c>
      <c r="L130" s="374">
        <v>2500</v>
      </c>
      <c r="M130" s="374">
        <v>2500</v>
      </c>
      <c r="N130" s="374">
        <v>2500</v>
      </c>
      <c r="O130" s="374">
        <v>2500</v>
      </c>
      <c r="P130" s="374"/>
      <c r="Q130" s="350" t="s">
        <v>268</v>
      </c>
    </row>
    <row r="131" spans="1:17">
      <c r="A131" s="377" t="s">
        <v>49</v>
      </c>
      <c r="B131" s="565">
        <f t="shared" ref="B131:F131" si="123">((B128)+(B129))+(B130)</f>
        <v>5000</v>
      </c>
      <c r="C131" s="565">
        <f t="shared" si="123"/>
        <v>0</v>
      </c>
      <c r="D131" s="565">
        <f t="shared" si="123"/>
        <v>3500</v>
      </c>
      <c r="E131" s="565">
        <f t="shared" si="123"/>
        <v>833.37</v>
      </c>
      <c r="F131" s="568">
        <f t="shared" si="123"/>
        <v>8500</v>
      </c>
      <c r="G131" s="568">
        <f>SUM(G129:G130)</f>
        <v>8500</v>
      </c>
      <c r="H131" s="646">
        <f>E131/F131</f>
        <v>9.804352941176471E-2</v>
      </c>
      <c r="I131" s="568">
        <f>((I128)+(I129))+(I130)</f>
        <v>7666.63</v>
      </c>
      <c r="J131" s="568"/>
      <c r="K131" s="426">
        <f t="shared" ref="K131" si="124">((K128)+(K129))+(K130)</f>
        <v>8500</v>
      </c>
      <c r="L131" s="378">
        <f t="shared" ref="L131:O131" si="125">((L128)+(L129))+(L130)</f>
        <v>3500</v>
      </c>
      <c r="M131" s="378">
        <f t="shared" si="125"/>
        <v>3500</v>
      </c>
      <c r="N131" s="378">
        <f t="shared" si="125"/>
        <v>3500</v>
      </c>
      <c r="O131" s="378">
        <f t="shared" si="125"/>
        <v>3500</v>
      </c>
      <c r="P131" s="378"/>
      <c r="Q131" s="351"/>
    </row>
    <row r="132" spans="1:17">
      <c r="A132" s="371" t="s">
        <v>50</v>
      </c>
      <c r="B132" s="596"/>
      <c r="C132" s="596"/>
      <c r="D132" s="597"/>
      <c r="E132" s="666"/>
      <c r="F132" s="597"/>
      <c r="G132" s="737"/>
      <c r="H132" s="645"/>
      <c r="I132" s="597"/>
      <c r="J132" s="597"/>
      <c r="K132" s="424"/>
      <c r="L132" s="350"/>
      <c r="M132" s="350"/>
      <c r="N132" s="350"/>
      <c r="O132" s="350"/>
      <c r="P132" s="350"/>
      <c r="Q132" s="350"/>
    </row>
    <row r="133" spans="1:17">
      <c r="A133" s="371" t="s">
        <v>51</v>
      </c>
      <c r="B133" s="596"/>
      <c r="C133" s="596">
        <v>8.99</v>
      </c>
      <c r="D133" s="597">
        <v>30000</v>
      </c>
      <c r="E133" s="666">
        <v>22063.65</v>
      </c>
      <c r="F133" s="597">
        <f>250*F4</f>
        <v>30000</v>
      </c>
      <c r="G133" s="737">
        <f t="shared" ref="G133:G139" si="126">F133</f>
        <v>30000</v>
      </c>
      <c r="H133" s="645">
        <f t="shared" ref="H133:H138" si="127">E133/G133</f>
        <v>0.73545500000000008</v>
      </c>
      <c r="I133" s="597">
        <f t="shared" ref="I133:I138" si="128">G133-E133</f>
        <v>7936.3499999999985</v>
      </c>
      <c r="J133" s="597"/>
      <c r="K133" s="425">
        <f t="shared" ref="K133:K139" si="129">F133</f>
        <v>30000</v>
      </c>
      <c r="L133" s="374">
        <f t="shared" ref="L133" si="130">250*L4</f>
        <v>45000</v>
      </c>
      <c r="M133" s="374">
        <f>L133*1.03</f>
        <v>46350</v>
      </c>
      <c r="N133" s="374">
        <f t="shared" ref="N133:O133" si="131">M133*1.03</f>
        <v>47740.5</v>
      </c>
      <c r="O133" s="374">
        <f t="shared" si="131"/>
        <v>49172.715000000004</v>
      </c>
      <c r="P133" s="374"/>
      <c r="Q133" s="350" t="s">
        <v>270</v>
      </c>
    </row>
    <row r="134" spans="1:17">
      <c r="A134" s="371" t="s">
        <v>52</v>
      </c>
      <c r="B134" s="601"/>
      <c r="C134" s="601"/>
      <c r="D134" s="597">
        <v>4000</v>
      </c>
      <c r="E134" s="666"/>
      <c r="F134" s="597">
        <f>1000*4</f>
        <v>4000</v>
      </c>
      <c r="G134" s="737">
        <f t="shared" si="126"/>
        <v>4000</v>
      </c>
      <c r="H134" s="645">
        <f t="shared" si="127"/>
        <v>0</v>
      </c>
      <c r="I134" s="597">
        <f t="shared" si="128"/>
        <v>4000</v>
      </c>
      <c r="J134" s="597"/>
      <c r="K134" s="425">
        <f t="shared" si="129"/>
        <v>4000</v>
      </c>
      <c r="L134" s="353"/>
      <c r="M134" s="353"/>
      <c r="N134" s="353"/>
      <c r="O134" s="353"/>
      <c r="P134" s="353"/>
      <c r="Q134" s="353" t="s">
        <v>500</v>
      </c>
    </row>
    <row r="135" spans="1:17">
      <c r="A135" s="371" t="s">
        <v>53</v>
      </c>
      <c r="B135" s="601"/>
      <c r="C135" s="601"/>
      <c r="D135" s="597">
        <v>4000</v>
      </c>
      <c r="E135" s="666"/>
      <c r="F135" s="597">
        <f>1000*4</f>
        <v>4000</v>
      </c>
      <c r="G135" s="737">
        <f t="shared" si="126"/>
        <v>4000</v>
      </c>
      <c r="H135" s="645">
        <f t="shared" si="127"/>
        <v>0</v>
      </c>
      <c r="I135" s="597">
        <f t="shared" si="128"/>
        <v>4000</v>
      </c>
      <c r="J135" s="597"/>
      <c r="K135" s="425">
        <f t="shared" si="129"/>
        <v>4000</v>
      </c>
      <c r="L135" s="353"/>
      <c r="M135" s="353"/>
      <c r="N135" s="353"/>
      <c r="O135" s="353"/>
      <c r="P135" s="353"/>
      <c r="Q135" s="353" t="s">
        <v>500</v>
      </c>
    </row>
    <row r="136" spans="1:17">
      <c r="A136" s="371" t="s">
        <v>54</v>
      </c>
      <c r="B136" s="601"/>
      <c r="C136" s="601"/>
      <c r="D136" s="597">
        <v>4000</v>
      </c>
      <c r="E136" s="666"/>
      <c r="F136" s="597">
        <v>4000</v>
      </c>
      <c r="G136" s="737">
        <f t="shared" si="126"/>
        <v>4000</v>
      </c>
      <c r="H136" s="645">
        <f t="shared" si="127"/>
        <v>0</v>
      </c>
      <c r="I136" s="597">
        <f t="shared" si="128"/>
        <v>4000</v>
      </c>
      <c r="J136" s="597"/>
      <c r="K136" s="425">
        <f t="shared" si="129"/>
        <v>4000</v>
      </c>
      <c r="L136" s="353"/>
      <c r="M136" s="353"/>
      <c r="N136" s="353"/>
      <c r="O136" s="353"/>
      <c r="P136" s="353"/>
      <c r="Q136" s="353" t="s">
        <v>534</v>
      </c>
    </row>
    <row r="137" spans="1:17">
      <c r="A137" s="371" t="s">
        <v>55</v>
      </c>
      <c r="B137" s="596"/>
      <c r="C137" s="596"/>
      <c r="D137" s="597">
        <v>1797.6000000000001</v>
      </c>
      <c r="E137" s="666"/>
      <c r="F137" s="597">
        <f>F22</f>
        <v>1797.6000000000001</v>
      </c>
      <c r="G137" s="737">
        <f t="shared" si="126"/>
        <v>1797.6000000000001</v>
      </c>
      <c r="H137" s="645">
        <f t="shared" si="127"/>
        <v>0</v>
      </c>
      <c r="I137" s="597">
        <f t="shared" si="128"/>
        <v>1797.6000000000001</v>
      </c>
      <c r="J137" s="597"/>
      <c r="K137" s="425">
        <f t="shared" si="129"/>
        <v>1797.6000000000001</v>
      </c>
      <c r="L137" s="379">
        <f t="shared" ref="L137:O137" si="132">L22</f>
        <v>2696.4</v>
      </c>
      <c r="M137" s="379">
        <f t="shared" si="132"/>
        <v>3595.2000000000003</v>
      </c>
      <c r="N137" s="379">
        <f t="shared" si="132"/>
        <v>4494</v>
      </c>
      <c r="O137" s="379">
        <f t="shared" si="132"/>
        <v>5392.8</v>
      </c>
      <c r="P137" s="379"/>
      <c r="Q137" s="353" t="s">
        <v>484</v>
      </c>
    </row>
    <row r="138" spans="1:17">
      <c r="A138" s="371" t="s">
        <v>56</v>
      </c>
      <c r="B138" s="596"/>
      <c r="C138" s="596"/>
      <c r="D138" s="597">
        <v>750</v>
      </c>
      <c r="E138" s="666"/>
      <c r="F138" s="597">
        <f>F23</f>
        <v>750</v>
      </c>
      <c r="G138" s="737">
        <f t="shared" si="126"/>
        <v>750</v>
      </c>
      <c r="H138" s="645">
        <f t="shared" si="127"/>
        <v>0</v>
      </c>
      <c r="I138" s="597">
        <f t="shared" si="128"/>
        <v>750</v>
      </c>
      <c r="J138" s="597"/>
      <c r="K138" s="425">
        <f t="shared" si="129"/>
        <v>750</v>
      </c>
      <c r="L138" s="379">
        <f t="shared" ref="L138:O138" si="133">L23</f>
        <v>1125</v>
      </c>
      <c r="M138" s="379">
        <f t="shared" si="133"/>
        <v>1500</v>
      </c>
      <c r="N138" s="379">
        <f t="shared" si="133"/>
        <v>1875</v>
      </c>
      <c r="O138" s="379">
        <f t="shared" si="133"/>
        <v>2250</v>
      </c>
      <c r="P138" s="379"/>
      <c r="Q138" s="353" t="s">
        <v>488</v>
      </c>
    </row>
    <row r="139" spans="1:17">
      <c r="A139" s="371" t="s">
        <v>57</v>
      </c>
      <c r="B139" s="596"/>
      <c r="C139" s="596">
        <v>1620</v>
      </c>
      <c r="D139" s="597">
        <v>0</v>
      </c>
      <c r="E139" s="666"/>
      <c r="F139" s="597"/>
      <c r="G139" s="737">
        <f t="shared" si="126"/>
        <v>0</v>
      </c>
      <c r="H139" s="645"/>
      <c r="I139" s="597"/>
      <c r="J139" s="597"/>
      <c r="K139" s="425">
        <f t="shared" si="129"/>
        <v>0</v>
      </c>
      <c r="L139" s="350"/>
      <c r="M139" s="350"/>
      <c r="N139" s="350"/>
      <c r="O139" s="350"/>
      <c r="P139" s="350"/>
      <c r="Q139" s="350"/>
    </row>
    <row r="140" spans="1:17">
      <c r="A140" s="377" t="s">
        <v>58</v>
      </c>
      <c r="B140" s="565">
        <f t="shared" ref="B140:F140" si="134">(((((((B132)+(B133))+(B134))+(B135))+(B136))+(B137))+(B138))+(B139)</f>
        <v>0</v>
      </c>
      <c r="C140" s="565">
        <f t="shared" si="134"/>
        <v>1628.99</v>
      </c>
      <c r="D140" s="565">
        <f t="shared" si="134"/>
        <v>44547.6</v>
      </c>
      <c r="E140" s="565">
        <f t="shared" si="134"/>
        <v>22063.65</v>
      </c>
      <c r="F140" s="568">
        <f t="shared" si="134"/>
        <v>44547.6</v>
      </c>
      <c r="G140" s="568">
        <f>SUM(G133:G139)</f>
        <v>44547.6</v>
      </c>
      <c r="H140" s="646">
        <f>E140/F140</f>
        <v>0.49528257414540855</v>
      </c>
      <c r="I140" s="568">
        <f>(((((((I132)+(I133))+(I134))+(I135))+(I136))+(I137))+(I138))+(I139)</f>
        <v>22483.949999999997</v>
      </c>
      <c r="J140" s="568"/>
      <c r="K140" s="426">
        <f t="shared" ref="K140" si="135">(((((((K132)+(K133))+(K134))+(K135))+(K136))+(K137))+(K138))+(K139)</f>
        <v>44547.6</v>
      </c>
      <c r="L140" s="378">
        <f t="shared" ref="L140:O140" si="136">(((((((L132)+(L133))+(L134))+(L135))+(L136))+(L137))+(L138))+(L139)</f>
        <v>48821.4</v>
      </c>
      <c r="M140" s="378">
        <f t="shared" si="136"/>
        <v>51445.2</v>
      </c>
      <c r="N140" s="378">
        <f t="shared" si="136"/>
        <v>54109.5</v>
      </c>
      <c r="O140" s="378">
        <f t="shared" si="136"/>
        <v>56815.515000000007</v>
      </c>
      <c r="P140" s="378"/>
      <c r="Q140" s="351"/>
    </row>
    <row r="141" spans="1:17">
      <c r="A141" s="371" t="s">
        <v>59</v>
      </c>
      <c r="B141" s="596"/>
      <c r="C141" s="596"/>
      <c r="D141" s="597"/>
      <c r="E141" s="666"/>
      <c r="F141" s="597"/>
      <c r="G141" s="737"/>
      <c r="H141" s="645"/>
      <c r="I141" s="597"/>
      <c r="J141" s="597"/>
      <c r="K141" s="424"/>
      <c r="L141" s="350"/>
      <c r="M141" s="350"/>
      <c r="N141" s="350"/>
      <c r="O141" s="350"/>
      <c r="P141" s="350"/>
      <c r="Q141" s="350"/>
    </row>
    <row r="142" spans="1:17">
      <c r="A142" s="371" t="s">
        <v>60</v>
      </c>
      <c r="B142" s="601"/>
      <c r="C142" s="601"/>
      <c r="D142" s="597">
        <v>2400</v>
      </c>
      <c r="E142" s="666"/>
      <c r="F142" s="597">
        <f>5200+17414</f>
        <v>22614</v>
      </c>
      <c r="G142" s="737">
        <f>D142</f>
        <v>2400</v>
      </c>
      <c r="H142" s="645">
        <f>E142/G142</f>
        <v>0</v>
      </c>
      <c r="I142" s="597">
        <f>G142-E142</f>
        <v>2400</v>
      </c>
      <c r="J142" s="597"/>
      <c r="K142" s="425">
        <f>F142</f>
        <v>22614</v>
      </c>
      <c r="L142" s="379">
        <f>200*(Enrollment!D11*Enrollment!$J$4)</f>
        <v>3600</v>
      </c>
      <c r="M142" s="379">
        <f>200*(Enrollment!E11*Enrollment!$J$4)</f>
        <v>4800</v>
      </c>
      <c r="N142" s="379">
        <f>200*(Enrollment!F11*Enrollment!$J$4)</f>
        <v>6000</v>
      </c>
      <c r="O142" s="379">
        <f>200*(Enrollment!G11*Enrollment!$J$4)</f>
        <v>7200</v>
      </c>
      <c r="P142" s="379"/>
      <c r="Q142" s="353" t="s">
        <v>272</v>
      </c>
    </row>
    <row r="143" spans="1:17">
      <c r="A143" s="377" t="s">
        <v>61</v>
      </c>
      <c r="B143" s="565">
        <f t="shared" ref="B143:F143" si="137">(B141)+(B142)</f>
        <v>0</v>
      </c>
      <c r="C143" s="565">
        <f t="shared" si="137"/>
        <v>0</v>
      </c>
      <c r="D143" s="565">
        <f t="shared" si="137"/>
        <v>2400</v>
      </c>
      <c r="E143" s="565">
        <f t="shared" si="137"/>
        <v>0</v>
      </c>
      <c r="F143" s="568">
        <f t="shared" si="137"/>
        <v>22614</v>
      </c>
      <c r="G143" s="568">
        <f>SUM(G142)</f>
        <v>2400</v>
      </c>
      <c r="H143" s="646">
        <f>E143/F143</f>
        <v>0</v>
      </c>
      <c r="I143" s="568">
        <f>(I141)+(I142)</f>
        <v>2400</v>
      </c>
      <c r="J143" s="568"/>
      <c r="K143" s="426">
        <f t="shared" ref="K143" si="138">(K141)+(K142)</f>
        <v>22614</v>
      </c>
      <c r="L143" s="378">
        <f t="shared" ref="L143:O143" si="139">(L141)+(L142)</f>
        <v>3600</v>
      </c>
      <c r="M143" s="378">
        <f t="shared" si="139"/>
        <v>4800</v>
      </c>
      <c r="N143" s="378">
        <f t="shared" si="139"/>
        <v>6000</v>
      </c>
      <c r="O143" s="378">
        <f t="shared" si="139"/>
        <v>7200</v>
      </c>
      <c r="P143" s="378"/>
      <c r="Q143" s="351"/>
    </row>
    <row r="144" spans="1:17">
      <c r="A144" s="371" t="s">
        <v>62</v>
      </c>
      <c r="B144" s="596"/>
      <c r="C144" s="596"/>
      <c r="D144" s="597"/>
      <c r="E144" s="666"/>
      <c r="F144" s="597"/>
      <c r="G144" s="737"/>
      <c r="H144" s="645"/>
      <c r="I144" s="597"/>
      <c r="J144" s="597"/>
      <c r="K144" s="424"/>
      <c r="L144" s="350"/>
      <c r="M144" s="350"/>
      <c r="N144" s="350"/>
      <c r="O144" s="350"/>
      <c r="P144" s="350"/>
      <c r="Q144" s="350"/>
    </row>
    <row r="145" spans="1:17">
      <c r="A145" s="371" t="s">
        <v>63</v>
      </c>
      <c r="B145" s="596"/>
      <c r="C145" s="596"/>
      <c r="D145" s="597">
        <v>24000</v>
      </c>
      <c r="E145" s="666"/>
      <c r="F145" s="597">
        <f>200*Enrollment!C11</f>
        <v>24000</v>
      </c>
      <c r="G145" s="737">
        <v>12000</v>
      </c>
      <c r="H145" s="645">
        <f>E145/G145</f>
        <v>0</v>
      </c>
      <c r="I145" s="597">
        <f>G145-E145</f>
        <v>12000</v>
      </c>
      <c r="J145" s="597"/>
      <c r="K145" s="425">
        <f t="shared" ref="K145:K148" si="140">F145</f>
        <v>24000</v>
      </c>
      <c r="L145" s="374">
        <f>200*Enrollment!D11</f>
        <v>36000</v>
      </c>
      <c r="M145" s="374">
        <f>200*Enrollment!E11</f>
        <v>48000</v>
      </c>
      <c r="N145" s="374">
        <f>200*Enrollment!F11</f>
        <v>60000</v>
      </c>
      <c r="O145" s="374">
        <f>200*Enrollment!G11</f>
        <v>72000</v>
      </c>
      <c r="P145" s="374"/>
      <c r="Q145" s="350" t="s">
        <v>956</v>
      </c>
    </row>
    <row r="146" spans="1:17">
      <c r="A146" s="371" t="s">
        <v>349</v>
      </c>
      <c r="B146" s="601"/>
      <c r="C146" s="601"/>
      <c r="D146" s="597"/>
      <c r="E146" s="666"/>
      <c r="F146" s="597"/>
      <c r="G146" s="737">
        <f t="shared" ref="G146:G148" si="141">F146</f>
        <v>0</v>
      </c>
      <c r="H146" s="645"/>
      <c r="I146" s="597"/>
      <c r="J146" s="597"/>
      <c r="K146" s="425">
        <f t="shared" si="140"/>
        <v>0</v>
      </c>
      <c r="L146" s="353"/>
      <c r="M146" s="353"/>
      <c r="N146" s="353"/>
      <c r="O146" s="353"/>
      <c r="P146" s="353"/>
      <c r="Q146" s="353"/>
    </row>
    <row r="147" spans="1:17">
      <c r="A147" s="371" t="s">
        <v>271</v>
      </c>
      <c r="B147" s="601"/>
      <c r="C147" s="601"/>
      <c r="D147" s="597">
        <v>25000</v>
      </c>
      <c r="E147" s="666">
        <f>2027.21+13501</f>
        <v>15528.21</v>
      </c>
      <c r="F147" s="597">
        <v>25000</v>
      </c>
      <c r="G147" s="737">
        <f t="shared" si="141"/>
        <v>25000</v>
      </c>
      <c r="H147" s="645">
        <f>E147/G147</f>
        <v>0.62112839999999991</v>
      </c>
      <c r="I147" s="597">
        <f>G147-E147</f>
        <v>9471.7900000000009</v>
      </c>
      <c r="J147" s="597"/>
      <c r="K147" s="425">
        <f t="shared" si="140"/>
        <v>25000</v>
      </c>
      <c r="L147" s="354"/>
      <c r="M147" s="354"/>
      <c r="N147" s="354"/>
      <c r="O147" s="354"/>
      <c r="P147" s="354"/>
      <c r="Q147" s="394" t="s">
        <v>968</v>
      </c>
    </row>
    <row r="148" spans="1:17">
      <c r="A148" s="371" t="s">
        <v>64</v>
      </c>
      <c r="B148" s="596">
        <f>B21</f>
        <v>0</v>
      </c>
      <c r="C148" s="596"/>
      <c r="D148" s="597">
        <v>6990</v>
      </c>
      <c r="E148" s="666"/>
      <c r="F148" s="597">
        <f>F21</f>
        <v>6990</v>
      </c>
      <c r="G148" s="737">
        <f t="shared" si="141"/>
        <v>6990</v>
      </c>
      <c r="H148" s="645">
        <f>E148/G148</f>
        <v>0</v>
      </c>
      <c r="I148" s="597">
        <f>G148-E148</f>
        <v>6990</v>
      </c>
      <c r="J148" s="597"/>
      <c r="K148" s="425">
        <f t="shared" si="140"/>
        <v>6990</v>
      </c>
      <c r="L148" s="393">
        <f t="shared" ref="L148:O148" si="142">L21</f>
        <v>10485</v>
      </c>
      <c r="M148" s="393">
        <f t="shared" si="142"/>
        <v>13980</v>
      </c>
      <c r="N148" s="393">
        <f t="shared" si="142"/>
        <v>17475</v>
      </c>
      <c r="O148" s="393">
        <f t="shared" si="142"/>
        <v>20970</v>
      </c>
      <c r="P148" s="393"/>
      <c r="Q148" s="354" t="s">
        <v>488</v>
      </c>
    </row>
    <row r="149" spans="1:17">
      <c r="A149" s="377" t="s">
        <v>65</v>
      </c>
      <c r="B149" s="565">
        <f t="shared" ref="B149:F149" si="143">((((B144)+(B145))+(B146))+(B147))+(B148)</f>
        <v>0</v>
      </c>
      <c r="C149" s="565">
        <f t="shared" si="143"/>
        <v>0</v>
      </c>
      <c r="D149" s="565">
        <f t="shared" si="143"/>
        <v>55990</v>
      </c>
      <c r="E149" s="565">
        <f t="shared" si="143"/>
        <v>15528.21</v>
      </c>
      <c r="F149" s="568">
        <f t="shared" si="143"/>
        <v>55990</v>
      </c>
      <c r="G149" s="568">
        <f>SUM(G145:G148)</f>
        <v>43990</v>
      </c>
      <c r="H149" s="646">
        <f>E149/F149</f>
        <v>0.27733898910519733</v>
      </c>
      <c r="I149" s="568">
        <f>((((I144)+(I145))+(I146))+(I147))+(I148)</f>
        <v>28461.79</v>
      </c>
      <c r="J149" s="568"/>
      <c r="K149" s="426">
        <f t="shared" ref="K149" si="144">((((K144)+(K145))+(K146))+(K147))+(K148)</f>
        <v>55990</v>
      </c>
      <c r="L149" s="378">
        <f t="shared" ref="L149:O149" si="145">((((L144)+(L145))+(L146))+(L147))+(L148)</f>
        <v>46485</v>
      </c>
      <c r="M149" s="378">
        <f t="shared" si="145"/>
        <v>61980</v>
      </c>
      <c r="N149" s="378">
        <f t="shared" si="145"/>
        <v>77475</v>
      </c>
      <c r="O149" s="378">
        <f t="shared" si="145"/>
        <v>92970</v>
      </c>
      <c r="P149" s="378"/>
      <c r="Q149" s="351"/>
    </row>
    <row r="150" spans="1:17">
      <c r="A150" s="371" t="s">
        <v>66</v>
      </c>
      <c r="B150" s="596"/>
      <c r="C150" s="596"/>
      <c r="D150" s="597"/>
      <c r="E150" s="666"/>
      <c r="F150" s="597"/>
      <c r="G150" s="737"/>
      <c r="H150" s="645"/>
      <c r="I150" s="597"/>
      <c r="J150" s="597"/>
      <c r="K150" s="424"/>
      <c r="L150" s="350"/>
      <c r="M150" s="350"/>
      <c r="N150" s="350"/>
      <c r="O150" s="350"/>
      <c r="P150" s="350"/>
      <c r="Q150" s="350"/>
    </row>
    <row r="151" spans="1:17">
      <c r="A151" s="371" t="s">
        <v>67</v>
      </c>
      <c r="B151" s="601"/>
      <c r="C151" s="601"/>
      <c r="D151" s="597">
        <v>5000</v>
      </c>
      <c r="E151" s="666"/>
      <c r="F151" s="597">
        <v>5000</v>
      </c>
      <c r="G151" s="737">
        <f t="shared" ref="G151:G153" si="146">F151</f>
        <v>5000</v>
      </c>
      <c r="H151" s="645">
        <f t="shared" ref="H151:H153" si="147">E151/G151</f>
        <v>0</v>
      </c>
      <c r="I151" s="597">
        <f>G151-E151</f>
        <v>5000</v>
      </c>
      <c r="J151" s="597"/>
      <c r="K151" s="425">
        <f t="shared" ref="K151:K153" si="148">F151</f>
        <v>5000</v>
      </c>
      <c r="L151" s="354"/>
      <c r="M151" s="354"/>
      <c r="N151" s="354"/>
      <c r="O151" s="354"/>
      <c r="P151" s="354"/>
      <c r="Q151" s="354" t="s">
        <v>489</v>
      </c>
    </row>
    <row r="152" spans="1:17">
      <c r="A152" s="371" t="s">
        <v>68</v>
      </c>
      <c r="B152" s="601"/>
      <c r="C152" s="601"/>
      <c r="D152" s="597">
        <v>2500</v>
      </c>
      <c r="E152" s="666"/>
      <c r="F152" s="597">
        <v>2500</v>
      </c>
      <c r="G152" s="737">
        <f t="shared" si="146"/>
        <v>2500</v>
      </c>
      <c r="H152" s="645">
        <f t="shared" si="147"/>
        <v>0</v>
      </c>
      <c r="I152" s="597">
        <f>G152-E152</f>
        <v>2500</v>
      </c>
      <c r="J152" s="597"/>
      <c r="K152" s="425">
        <f t="shared" si="148"/>
        <v>2500</v>
      </c>
      <c r="L152" s="354"/>
      <c r="M152" s="354"/>
      <c r="N152" s="354"/>
      <c r="O152" s="354"/>
      <c r="P152" s="354"/>
      <c r="Q152" s="354" t="s">
        <v>490</v>
      </c>
    </row>
    <row r="153" spans="1:17">
      <c r="A153" s="371" t="s">
        <v>69</v>
      </c>
      <c r="B153" s="601"/>
      <c r="C153" s="601"/>
      <c r="D153" s="597">
        <v>6000</v>
      </c>
      <c r="E153" s="666"/>
      <c r="F153" s="597">
        <v>6000</v>
      </c>
      <c r="G153" s="737">
        <f t="shared" si="146"/>
        <v>6000</v>
      </c>
      <c r="H153" s="645">
        <f t="shared" si="147"/>
        <v>0</v>
      </c>
      <c r="I153" s="597">
        <f>G153-E153</f>
        <v>6000</v>
      </c>
      <c r="J153" s="597"/>
      <c r="K153" s="425">
        <f t="shared" si="148"/>
        <v>6000</v>
      </c>
      <c r="L153" s="354"/>
      <c r="M153" s="354"/>
      <c r="N153" s="354"/>
      <c r="O153" s="354"/>
      <c r="P153" s="354"/>
      <c r="Q153" s="354" t="s">
        <v>491</v>
      </c>
    </row>
    <row r="154" spans="1:17">
      <c r="A154" s="377" t="s">
        <v>70</v>
      </c>
      <c r="B154" s="565">
        <f t="shared" ref="B154:F154" si="149">(((B150)+(B151))+(B152))+(B153)</f>
        <v>0</v>
      </c>
      <c r="C154" s="565">
        <f t="shared" si="149"/>
        <v>0</v>
      </c>
      <c r="D154" s="565">
        <f t="shared" si="149"/>
        <v>13500</v>
      </c>
      <c r="E154" s="565">
        <f t="shared" si="149"/>
        <v>0</v>
      </c>
      <c r="F154" s="568">
        <f t="shared" si="149"/>
        <v>13500</v>
      </c>
      <c r="G154" s="568">
        <f>SUM(G151:G153)</f>
        <v>13500</v>
      </c>
      <c r="H154" s="646">
        <f>E154/F154</f>
        <v>0</v>
      </c>
      <c r="I154" s="568">
        <f>(((I150)+(I151))+(I152))+(I153)</f>
        <v>13500</v>
      </c>
      <c r="J154" s="568"/>
      <c r="K154" s="426">
        <f t="shared" ref="K154" si="150">(((K150)+(K151))+(K152))+(K153)</f>
        <v>13500</v>
      </c>
      <c r="L154" s="378">
        <f t="shared" ref="L154:O154" si="151">(((L150)+(L151))+(L152))+(L153)</f>
        <v>0</v>
      </c>
      <c r="M154" s="378">
        <f t="shared" si="151"/>
        <v>0</v>
      </c>
      <c r="N154" s="378">
        <f t="shared" si="151"/>
        <v>0</v>
      </c>
      <c r="O154" s="378">
        <f t="shared" si="151"/>
        <v>0</v>
      </c>
      <c r="P154" s="378"/>
      <c r="Q154" s="351"/>
    </row>
    <row r="155" spans="1:17">
      <c r="A155" s="371" t="s">
        <v>71</v>
      </c>
      <c r="B155" s="596"/>
      <c r="C155" s="596"/>
      <c r="D155" s="597"/>
      <c r="E155" s="666"/>
      <c r="F155" s="597"/>
      <c r="G155" s="737"/>
      <c r="H155" s="645"/>
      <c r="I155" s="597"/>
      <c r="J155" s="597"/>
      <c r="K155" s="424"/>
      <c r="L155" s="350"/>
      <c r="M155" s="350"/>
      <c r="N155" s="350"/>
      <c r="O155" s="350"/>
      <c r="P155" s="350"/>
      <c r="Q155" s="350"/>
    </row>
    <row r="156" spans="1:17">
      <c r="A156" s="371" t="s">
        <v>72</v>
      </c>
      <c r="B156" s="596"/>
      <c r="C156" s="596"/>
      <c r="D156" s="597">
        <v>15312</v>
      </c>
      <c r="E156" s="666"/>
      <c r="F156" s="597">
        <f>1276*12</f>
        <v>15312</v>
      </c>
      <c r="G156" s="737">
        <f t="shared" ref="G156:G160" si="152">F156</f>
        <v>15312</v>
      </c>
      <c r="H156" s="645">
        <f t="shared" ref="H156:H160" si="153">E156/G156</f>
        <v>0</v>
      </c>
      <c r="I156" s="597">
        <f t="shared" ref="I156:I160" si="154">G156-E156</f>
        <v>15312</v>
      </c>
      <c r="J156" s="597"/>
      <c r="K156" s="425">
        <f t="shared" ref="K156:K160" si="155">F156</f>
        <v>15312</v>
      </c>
      <c r="L156" s="393">
        <f>450*12*2</f>
        <v>10800</v>
      </c>
      <c r="M156" s="393">
        <f>450*12*3</f>
        <v>16200</v>
      </c>
      <c r="N156" s="393">
        <f>450*12*3</f>
        <v>16200</v>
      </c>
      <c r="O156" s="393">
        <f>450*12*4</f>
        <v>21600</v>
      </c>
      <c r="P156" s="393"/>
      <c r="Q156" s="354" t="s">
        <v>635</v>
      </c>
    </row>
    <row r="157" spans="1:17">
      <c r="A157" s="371" t="s">
        <v>439</v>
      </c>
      <c r="B157" s="596"/>
      <c r="C157" s="596">
        <v>4752.29</v>
      </c>
      <c r="D157" s="597">
        <v>2000</v>
      </c>
      <c r="E157" s="666">
        <v>5053.25</v>
      </c>
      <c r="F157" s="597">
        <v>2000</v>
      </c>
      <c r="G157" s="737">
        <f t="shared" si="152"/>
        <v>2000</v>
      </c>
      <c r="H157" s="645">
        <f t="shared" si="153"/>
        <v>2.5266250000000001</v>
      </c>
      <c r="I157" s="597">
        <f t="shared" si="154"/>
        <v>-3053.25</v>
      </c>
      <c r="J157" s="597"/>
      <c r="K157" s="425">
        <f t="shared" si="155"/>
        <v>2000</v>
      </c>
      <c r="L157" s="374">
        <v>2000</v>
      </c>
      <c r="M157" s="374">
        <v>2000</v>
      </c>
      <c r="N157" s="374">
        <v>2000</v>
      </c>
      <c r="O157" s="374">
        <v>2000</v>
      </c>
      <c r="P157" s="374"/>
      <c r="Q157" s="350"/>
    </row>
    <row r="158" spans="1:17">
      <c r="A158" s="371" t="s">
        <v>440</v>
      </c>
      <c r="B158" s="596"/>
      <c r="C158" s="596">
        <v>6019.87</v>
      </c>
      <c r="D158" s="597">
        <v>2000</v>
      </c>
      <c r="E158" s="666"/>
      <c r="F158" s="597">
        <v>2000</v>
      </c>
      <c r="G158" s="737">
        <f t="shared" si="152"/>
        <v>2000</v>
      </c>
      <c r="H158" s="645">
        <f t="shared" si="153"/>
        <v>0</v>
      </c>
      <c r="I158" s="597">
        <f t="shared" si="154"/>
        <v>2000</v>
      </c>
      <c r="J158" s="597"/>
      <c r="K158" s="425">
        <f t="shared" si="155"/>
        <v>2000</v>
      </c>
      <c r="L158" s="374">
        <v>2000</v>
      </c>
      <c r="M158" s="374">
        <v>2000</v>
      </c>
      <c r="N158" s="374">
        <v>2000</v>
      </c>
      <c r="O158" s="374">
        <v>2000</v>
      </c>
      <c r="P158" s="374"/>
      <c r="Q158" s="350"/>
    </row>
    <row r="159" spans="1:17">
      <c r="A159" s="371" t="s">
        <v>441</v>
      </c>
      <c r="B159" s="596"/>
      <c r="C159" s="596">
        <v>169.99</v>
      </c>
      <c r="D159" s="597">
        <v>2000</v>
      </c>
      <c r="E159" s="666">
        <v>120</v>
      </c>
      <c r="F159" s="597">
        <v>2000</v>
      </c>
      <c r="G159" s="737">
        <f t="shared" si="152"/>
        <v>2000</v>
      </c>
      <c r="H159" s="645">
        <f t="shared" si="153"/>
        <v>0.06</v>
      </c>
      <c r="I159" s="597">
        <f t="shared" si="154"/>
        <v>1880</v>
      </c>
      <c r="J159" s="597"/>
      <c r="K159" s="425">
        <f t="shared" si="155"/>
        <v>2000</v>
      </c>
      <c r="L159" s="374">
        <v>2000</v>
      </c>
      <c r="M159" s="374">
        <v>2000</v>
      </c>
      <c r="N159" s="374">
        <v>2000</v>
      </c>
      <c r="O159" s="374">
        <v>2000</v>
      </c>
      <c r="P159" s="374"/>
      <c r="Q159" s="350"/>
    </row>
    <row r="160" spans="1:17">
      <c r="A160" s="371" t="s">
        <v>442</v>
      </c>
      <c r="B160" s="596"/>
      <c r="C160" s="596">
        <v>2760.37</v>
      </c>
      <c r="D160" s="597">
        <v>2000</v>
      </c>
      <c r="E160" s="666">
        <v>3700</v>
      </c>
      <c r="F160" s="597">
        <v>2000</v>
      </c>
      <c r="G160" s="737">
        <f t="shared" si="152"/>
        <v>2000</v>
      </c>
      <c r="H160" s="645">
        <f t="shared" si="153"/>
        <v>1.85</v>
      </c>
      <c r="I160" s="597">
        <f t="shared" si="154"/>
        <v>-1700</v>
      </c>
      <c r="J160" s="597"/>
      <c r="K160" s="425">
        <f t="shared" si="155"/>
        <v>2000</v>
      </c>
      <c r="L160" s="374">
        <v>2000</v>
      </c>
      <c r="M160" s="374">
        <v>2000</v>
      </c>
      <c r="N160" s="374">
        <v>2000</v>
      </c>
      <c r="O160" s="374">
        <v>2000</v>
      </c>
      <c r="P160" s="374"/>
      <c r="Q160" s="350"/>
    </row>
    <row r="161" spans="1:17">
      <c r="A161" s="377" t="s">
        <v>73</v>
      </c>
      <c r="B161" s="565">
        <f t="shared" ref="B161:F161" si="156">(((((B155)+(B156))+(B157))+(B158))+(B159))+(B160)</f>
        <v>0</v>
      </c>
      <c r="C161" s="565">
        <f t="shared" si="156"/>
        <v>13702.52</v>
      </c>
      <c r="D161" s="565">
        <f t="shared" si="156"/>
        <v>23312</v>
      </c>
      <c r="E161" s="565">
        <f t="shared" si="156"/>
        <v>8873.25</v>
      </c>
      <c r="F161" s="568">
        <f t="shared" si="156"/>
        <v>23312</v>
      </c>
      <c r="G161" s="568">
        <f>SUM(G156:G160)</f>
        <v>23312</v>
      </c>
      <c r="H161" s="646">
        <f>E161/F161</f>
        <v>0.38063014756348662</v>
      </c>
      <c r="I161" s="568">
        <f>(((((I155)+(I156))+(I157))+(I158))+(I159))+(I160)</f>
        <v>14438.75</v>
      </c>
      <c r="J161" s="568"/>
      <c r="K161" s="426">
        <f t="shared" ref="K161" si="157">(((((K155)+(K156))+(K157))+(K158))+(K159))+(K160)</f>
        <v>23312</v>
      </c>
      <c r="L161" s="378">
        <f t="shared" ref="L161:O161" si="158">(((((L155)+(L156))+(L157))+(L158))+(L159))+(L160)</f>
        <v>18800</v>
      </c>
      <c r="M161" s="378">
        <f t="shared" si="158"/>
        <v>24200</v>
      </c>
      <c r="N161" s="378">
        <f t="shared" si="158"/>
        <v>24200</v>
      </c>
      <c r="O161" s="378">
        <f t="shared" si="158"/>
        <v>29600</v>
      </c>
      <c r="P161" s="378"/>
      <c r="Q161" s="351"/>
    </row>
    <row r="162" spans="1:17">
      <c r="A162" s="371" t="s">
        <v>453</v>
      </c>
      <c r="B162" s="596"/>
      <c r="C162" s="596"/>
      <c r="D162" s="597"/>
      <c r="E162" s="666"/>
      <c r="F162" s="597"/>
      <c r="G162" s="737"/>
      <c r="H162" s="645"/>
      <c r="I162" s="597"/>
      <c r="J162" s="597"/>
      <c r="K162" s="424"/>
      <c r="L162" s="350"/>
      <c r="M162" s="350"/>
      <c r="N162" s="350"/>
      <c r="O162" s="350"/>
      <c r="P162" s="350"/>
      <c r="Q162" s="350"/>
    </row>
    <row r="163" spans="1:17">
      <c r="A163" s="371" t="s">
        <v>454</v>
      </c>
      <c r="B163" s="601"/>
      <c r="C163" s="601"/>
      <c r="D163" s="597">
        <v>8492</v>
      </c>
      <c r="E163" s="666">
        <v>4023.23</v>
      </c>
      <c r="F163" s="597">
        <f>346*12+4340</f>
        <v>8492</v>
      </c>
      <c r="G163" s="737">
        <f>F163</f>
        <v>8492</v>
      </c>
      <c r="H163" s="645">
        <f>E163/G163</f>
        <v>0.47376707489401793</v>
      </c>
      <c r="I163" s="597">
        <f>G163-E163</f>
        <v>4468.7700000000004</v>
      </c>
      <c r="J163" s="597"/>
      <c r="K163" s="425">
        <f t="shared" ref="K163:K164" si="159">F163</f>
        <v>8492</v>
      </c>
      <c r="L163" s="379">
        <f t="shared" ref="L163:O163" si="160">100*12</f>
        <v>1200</v>
      </c>
      <c r="M163" s="379">
        <f t="shared" si="160"/>
        <v>1200</v>
      </c>
      <c r="N163" s="379">
        <f t="shared" si="160"/>
        <v>1200</v>
      </c>
      <c r="O163" s="379">
        <f t="shared" si="160"/>
        <v>1200</v>
      </c>
      <c r="P163" s="379"/>
      <c r="Q163" s="353" t="s">
        <v>622</v>
      </c>
    </row>
    <row r="164" spans="1:17">
      <c r="A164" s="371" t="s">
        <v>74</v>
      </c>
      <c r="B164" s="601"/>
      <c r="C164" s="601"/>
      <c r="D164" s="597">
        <v>0</v>
      </c>
      <c r="E164" s="666"/>
      <c r="F164" s="597"/>
      <c r="G164" s="737">
        <f>F164</f>
        <v>0</v>
      </c>
      <c r="H164" s="645"/>
      <c r="I164" s="597"/>
      <c r="J164" s="597"/>
      <c r="K164" s="425">
        <f t="shared" si="159"/>
        <v>0</v>
      </c>
      <c r="L164" s="354"/>
      <c r="M164" s="354"/>
      <c r="N164" s="354"/>
      <c r="O164" s="354"/>
      <c r="P164" s="354"/>
      <c r="Q164" s="354" t="s">
        <v>624</v>
      </c>
    </row>
    <row r="165" spans="1:17">
      <c r="A165" s="377" t="s">
        <v>455</v>
      </c>
      <c r="B165" s="565">
        <f t="shared" ref="B165:F165" si="161">((B162)+(B163))+(B164)</f>
        <v>0</v>
      </c>
      <c r="C165" s="565">
        <f t="shared" si="161"/>
        <v>0</v>
      </c>
      <c r="D165" s="565">
        <f t="shared" si="161"/>
        <v>8492</v>
      </c>
      <c r="E165" s="565">
        <f t="shared" si="161"/>
        <v>4023.23</v>
      </c>
      <c r="F165" s="568">
        <f t="shared" si="161"/>
        <v>8492</v>
      </c>
      <c r="G165" s="568">
        <f>SUM(G163:G164)</f>
        <v>8492</v>
      </c>
      <c r="H165" s="646">
        <f>E165/F165</f>
        <v>0.47376707489401793</v>
      </c>
      <c r="I165" s="568">
        <f>((I162)+(I163))+(I164)</f>
        <v>4468.7700000000004</v>
      </c>
      <c r="J165" s="568"/>
      <c r="K165" s="426">
        <f t="shared" ref="K165" si="162">((K162)+(K163))+(K164)</f>
        <v>8492</v>
      </c>
      <c r="L165" s="378">
        <f t="shared" ref="L165:O165" si="163">((L162)+(L163))+(L164)</f>
        <v>1200</v>
      </c>
      <c r="M165" s="378">
        <f t="shared" si="163"/>
        <v>1200</v>
      </c>
      <c r="N165" s="378">
        <f t="shared" si="163"/>
        <v>1200</v>
      </c>
      <c r="O165" s="378">
        <f t="shared" si="163"/>
        <v>1200</v>
      </c>
      <c r="P165" s="378"/>
      <c r="Q165" s="351"/>
    </row>
    <row r="166" spans="1:17">
      <c r="A166" s="371" t="s">
        <v>75</v>
      </c>
      <c r="B166" s="596"/>
      <c r="C166" s="596"/>
      <c r="D166" s="597"/>
      <c r="E166" s="666"/>
      <c r="F166" s="597"/>
      <c r="G166" s="737"/>
      <c r="H166" s="645"/>
      <c r="I166" s="597"/>
      <c r="J166" s="597"/>
      <c r="K166" s="424"/>
      <c r="L166" s="350"/>
      <c r="M166" s="350"/>
      <c r="N166" s="350"/>
      <c r="O166" s="350"/>
      <c r="P166" s="350"/>
      <c r="Q166" s="350"/>
    </row>
    <row r="167" spans="1:17">
      <c r="A167" s="395" t="s">
        <v>76</v>
      </c>
      <c r="B167" s="602"/>
      <c r="C167" s="602"/>
      <c r="D167" s="597">
        <v>30600</v>
      </c>
      <c r="E167" s="666">
        <v>648.1</v>
      </c>
      <c r="F167" s="597">
        <f>2550*12</f>
        <v>30600</v>
      </c>
      <c r="G167" s="737">
        <f t="shared" ref="G167:G171" si="164">F167</f>
        <v>30600</v>
      </c>
      <c r="H167" s="645">
        <f t="shared" ref="H167:H171" si="165">E167/G167</f>
        <v>2.1179738562091505E-2</v>
      </c>
      <c r="I167" s="597">
        <f t="shared" ref="I167:I171" si="166">G167-E167</f>
        <v>29951.9</v>
      </c>
      <c r="J167" s="597"/>
      <c r="K167" s="425">
        <f t="shared" ref="K167:K171" si="167">F167</f>
        <v>30600</v>
      </c>
      <c r="L167" s="393">
        <f t="shared" ref="L167:O167" si="168">1700*12</f>
        <v>20400</v>
      </c>
      <c r="M167" s="393">
        <f t="shared" si="168"/>
        <v>20400</v>
      </c>
      <c r="N167" s="393">
        <f t="shared" si="168"/>
        <v>20400</v>
      </c>
      <c r="O167" s="393">
        <f t="shared" si="168"/>
        <v>20400</v>
      </c>
      <c r="P167" s="393"/>
      <c r="Q167" s="354" t="s">
        <v>621</v>
      </c>
    </row>
    <row r="168" spans="1:17">
      <c r="A168" s="411" t="s">
        <v>77</v>
      </c>
      <c r="B168" s="603"/>
      <c r="C168" s="603">
        <f>177+3600</f>
        <v>3777</v>
      </c>
      <c r="D168" s="604">
        <v>45200</v>
      </c>
      <c r="E168" s="669">
        <f>306.47+250+6000</f>
        <v>6556.47</v>
      </c>
      <c r="F168" s="604">
        <f>13700+24000</f>
        <v>37700</v>
      </c>
      <c r="G168" s="740">
        <f t="shared" si="164"/>
        <v>37700</v>
      </c>
      <c r="H168" s="650">
        <f t="shared" si="165"/>
        <v>0.17391167108753317</v>
      </c>
      <c r="I168" s="604">
        <f t="shared" si="166"/>
        <v>31143.53</v>
      </c>
      <c r="J168" s="604"/>
      <c r="K168" s="425">
        <f t="shared" si="167"/>
        <v>37700</v>
      </c>
      <c r="L168" s="393">
        <f t="shared" ref="L168:O168" si="169">11200+30000</f>
        <v>41200</v>
      </c>
      <c r="M168" s="393">
        <f t="shared" si="169"/>
        <v>41200</v>
      </c>
      <c r="N168" s="393">
        <f t="shared" si="169"/>
        <v>41200</v>
      </c>
      <c r="O168" s="393">
        <f t="shared" si="169"/>
        <v>41200</v>
      </c>
      <c r="P168" s="393"/>
      <c r="Q168" s="394" t="s">
        <v>969</v>
      </c>
    </row>
    <row r="169" spans="1:17">
      <c r="A169" s="371" t="s">
        <v>78</v>
      </c>
      <c r="B169" s="599">
        <v>3000</v>
      </c>
      <c r="C169" s="599">
        <f>642.32+3224.97</f>
        <v>3867.29</v>
      </c>
      <c r="D169" s="574">
        <v>2000</v>
      </c>
      <c r="E169" s="667">
        <v>375</v>
      </c>
      <c r="F169" s="574">
        <v>2000</v>
      </c>
      <c r="G169" s="738">
        <f t="shared" si="164"/>
        <v>2000</v>
      </c>
      <c r="H169" s="644">
        <f t="shared" si="165"/>
        <v>0.1875</v>
      </c>
      <c r="I169" s="574">
        <f t="shared" si="166"/>
        <v>1625</v>
      </c>
      <c r="J169" s="574"/>
      <c r="K169" s="425">
        <f t="shared" si="167"/>
        <v>2000</v>
      </c>
      <c r="L169" s="390">
        <v>2000</v>
      </c>
      <c r="M169" s="390">
        <v>2000</v>
      </c>
      <c r="N169" s="390">
        <v>2000</v>
      </c>
      <c r="O169" s="390">
        <v>2000</v>
      </c>
      <c r="P169" s="390"/>
      <c r="Q169" s="353"/>
    </row>
    <row r="170" spans="1:17">
      <c r="A170" s="371" t="s">
        <v>79</v>
      </c>
      <c r="B170" s="601">
        <v>7000</v>
      </c>
      <c r="C170" s="601"/>
      <c r="D170" s="597">
        <v>2000</v>
      </c>
      <c r="E170" s="666">
        <v>1275.95</v>
      </c>
      <c r="F170" s="597">
        <f>2000+7500</f>
        <v>9500</v>
      </c>
      <c r="G170" s="737">
        <f t="shared" si="164"/>
        <v>9500</v>
      </c>
      <c r="H170" s="645">
        <f t="shared" si="165"/>
        <v>0.13431052631578949</v>
      </c>
      <c r="I170" s="597">
        <f t="shared" si="166"/>
        <v>8224.0499999999993</v>
      </c>
      <c r="J170" s="597"/>
      <c r="K170" s="425">
        <f t="shared" si="167"/>
        <v>9500</v>
      </c>
      <c r="L170" s="379">
        <v>2000</v>
      </c>
      <c r="M170" s="379">
        <v>2000</v>
      </c>
      <c r="N170" s="379">
        <v>2000</v>
      </c>
      <c r="O170" s="379">
        <v>2000</v>
      </c>
      <c r="P170" s="379"/>
      <c r="Q170" s="353" t="s">
        <v>914</v>
      </c>
    </row>
    <row r="171" spans="1:17">
      <c r="A171" s="371" t="s">
        <v>80</v>
      </c>
      <c r="B171" s="599"/>
      <c r="C171" s="599">
        <v>8708.26</v>
      </c>
      <c r="D171" s="574">
        <v>3000</v>
      </c>
      <c r="E171" s="667">
        <v>500</v>
      </c>
      <c r="F171" s="574">
        <f>250*12</f>
        <v>3000</v>
      </c>
      <c r="G171" s="738">
        <f t="shared" si="164"/>
        <v>3000</v>
      </c>
      <c r="H171" s="644">
        <f t="shared" si="165"/>
        <v>0.16666666666666666</v>
      </c>
      <c r="I171" s="574">
        <f t="shared" si="166"/>
        <v>2500</v>
      </c>
      <c r="J171" s="574"/>
      <c r="K171" s="425">
        <f t="shared" si="167"/>
        <v>3000</v>
      </c>
      <c r="L171" s="390">
        <v>2000</v>
      </c>
      <c r="M171" s="390">
        <v>2000</v>
      </c>
      <c r="N171" s="390">
        <v>2000</v>
      </c>
      <c r="O171" s="390">
        <v>2000</v>
      </c>
      <c r="P171" s="390"/>
      <c r="Q171" s="353" t="s">
        <v>492</v>
      </c>
    </row>
    <row r="172" spans="1:17">
      <c r="A172" s="377" t="s">
        <v>82</v>
      </c>
      <c r="B172" s="565">
        <f t="shared" ref="B172:F172" si="170">(((((B166)+(B167))+(B168))+(B169))+(B170))+(B171)</f>
        <v>10000</v>
      </c>
      <c r="C172" s="565">
        <f t="shared" si="170"/>
        <v>16352.55</v>
      </c>
      <c r="D172" s="565">
        <f t="shared" si="170"/>
        <v>82800</v>
      </c>
      <c r="E172" s="565">
        <f t="shared" si="170"/>
        <v>9355.52</v>
      </c>
      <c r="F172" s="568">
        <f t="shared" si="170"/>
        <v>82800</v>
      </c>
      <c r="G172" s="568">
        <f>SUM(G167:G171)</f>
        <v>82800</v>
      </c>
      <c r="H172" s="646">
        <f>E172/F172</f>
        <v>0.11298937198067634</v>
      </c>
      <c r="I172" s="568">
        <f>(((((I166)+(I167))+(I168))+(I169))+(I170))+(I171)</f>
        <v>73444.479999999996</v>
      </c>
      <c r="J172" s="568"/>
      <c r="K172" s="426">
        <f t="shared" ref="K172" si="171">(((((K166)+(K167))+(K168))+(K169))+(K170))+(K171)</f>
        <v>82800</v>
      </c>
      <c r="L172" s="378">
        <f t="shared" ref="L172:O172" si="172">(((((L166)+(L167))+(L168))+(L169))+(L170))+(L171)</f>
        <v>67600</v>
      </c>
      <c r="M172" s="378">
        <f t="shared" si="172"/>
        <v>67600</v>
      </c>
      <c r="N172" s="378">
        <f t="shared" si="172"/>
        <v>67600</v>
      </c>
      <c r="O172" s="378">
        <f t="shared" si="172"/>
        <v>67600</v>
      </c>
      <c r="P172" s="378"/>
      <c r="Q172" s="351"/>
    </row>
    <row r="173" spans="1:17">
      <c r="A173" s="371" t="s">
        <v>456</v>
      </c>
      <c r="B173" s="596"/>
      <c r="C173" s="596"/>
      <c r="D173" s="597"/>
      <c r="E173" s="666"/>
      <c r="F173" s="597"/>
      <c r="G173" s="737"/>
      <c r="H173" s="645"/>
      <c r="I173" s="597"/>
      <c r="J173" s="597"/>
      <c r="K173" s="424"/>
      <c r="L173" s="350"/>
      <c r="M173" s="350"/>
      <c r="N173" s="350"/>
      <c r="O173" s="350"/>
      <c r="P173" s="350"/>
      <c r="Q173" s="350"/>
    </row>
    <row r="174" spans="1:17">
      <c r="A174" s="371" t="s">
        <v>81</v>
      </c>
      <c r="B174" s="596"/>
      <c r="C174" s="596"/>
      <c r="D174" s="597">
        <v>34000</v>
      </c>
      <c r="E174" s="666"/>
      <c r="F174" s="597">
        <v>40000</v>
      </c>
      <c r="G174" s="737">
        <f>D174</f>
        <v>34000</v>
      </c>
      <c r="H174" s="645">
        <f>E174/G174</f>
        <v>0</v>
      </c>
      <c r="I174" s="597">
        <f>G174-E174</f>
        <v>34000</v>
      </c>
      <c r="J174" s="597"/>
      <c r="K174" s="425">
        <f>F174</f>
        <v>40000</v>
      </c>
      <c r="L174" s="393">
        <f>(50*Enrollment!D11)</f>
        <v>9000</v>
      </c>
      <c r="M174" s="393">
        <f>(50*Enrollment!E11)</f>
        <v>12000</v>
      </c>
      <c r="N174" s="393">
        <f>(50*Enrollment!F11)</f>
        <v>15000</v>
      </c>
      <c r="O174" s="393">
        <f>(50*Enrollment!G11)</f>
        <v>18000</v>
      </c>
      <c r="P174" s="393"/>
      <c r="Q174" s="394" t="s">
        <v>637</v>
      </c>
    </row>
    <row r="175" spans="1:17">
      <c r="A175" s="377" t="s">
        <v>378</v>
      </c>
      <c r="B175" s="565">
        <f t="shared" ref="B175:F175" si="173">(B173)+(B174)</f>
        <v>0</v>
      </c>
      <c r="C175" s="565">
        <f t="shared" si="173"/>
        <v>0</v>
      </c>
      <c r="D175" s="565">
        <f t="shared" si="173"/>
        <v>34000</v>
      </c>
      <c r="E175" s="565">
        <f t="shared" si="173"/>
        <v>0</v>
      </c>
      <c r="F175" s="568">
        <f t="shared" si="173"/>
        <v>40000</v>
      </c>
      <c r="G175" s="568">
        <f>SUM(G174)</f>
        <v>34000</v>
      </c>
      <c r="H175" s="646">
        <f>E175/F175</f>
        <v>0</v>
      </c>
      <c r="I175" s="568">
        <f>(I173)+(I174)</f>
        <v>34000</v>
      </c>
      <c r="J175" s="568"/>
      <c r="K175" s="426">
        <f t="shared" ref="K175" si="174">(K173)+(K174)</f>
        <v>40000</v>
      </c>
      <c r="L175" s="378">
        <f t="shared" ref="L175:O175" si="175">(L173)+(L174)</f>
        <v>9000</v>
      </c>
      <c r="M175" s="378">
        <f t="shared" si="175"/>
        <v>12000</v>
      </c>
      <c r="N175" s="378">
        <f t="shared" si="175"/>
        <v>15000</v>
      </c>
      <c r="O175" s="378">
        <f t="shared" si="175"/>
        <v>18000</v>
      </c>
      <c r="P175" s="378"/>
      <c r="Q175" s="351"/>
    </row>
    <row r="176" spans="1:17">
      <c r="A176" s="371" t="s">
        <v>83</v>
      </c>
      <c r="B176" s="596"/>
      <c r="C176" s="596"/>
      <c r="D176" s="597"/>
      <c r="E176" s="666"/>
      <c r="F176" s="597"/>
      <c r="G176" s="737"/>
      <c r="H176" s="645"/>
      <c r="I176" s="597"/>
      <c r="J176" s="597"/>
      <c r="K176" s="424"/>
      <c r="L176" s="350"/>
      <c r="M176" s="350"/>
      <c r="N176" s="350"/>
      <c r="O176" s="350"/>
      <c r="P176" s="350"/>
      <c r="Q176" s="350"/>
    </row>
    <row r="177" spans="1:17">
      <c r="A177" s="371" t="s">
        <v>84</v>
      </c>
      <c r="B177" s="596"/>
      <c r="C177" s="596"/>
      <c r="D177" s="597">
        <v>5000</v>
      </c>
      <c r="E177" s="666"/>
      <c r="F177" s="597">
        <v>5000</v>
      </c>
      <c r="G177" s="737">
        <f t="shared" ref="G177:G178" si="176">F177</f>
        <v>5000</v>
      </c>
      <c r="H177" s="645">
        <f>E177/G177</f>
        <v>0</v>
      </c>
      <c r="I177" s="597">
        <f>G177-E177</f>
        <v>5000</v>
      </c>
      <c r="J177" s="597"/>
      <c r="K177" s="425">
        <f>F177</f>
        <v>5000</v>
      </c>
      <c r="L177" s="354"/>
      <c r="M177" s="354"/>
      <c r="N177" s="354"/>
      <c r="O177" s="354"/>
      <c r="P177" s="354"/>
      <c r="Q177" s="394" t="s">
        <v>693</v>
      </c>
    </row>
    <row r="178" spans="1:17">
      <c r="A178" s="371" t="s">
        <v>85</v>
      </c>
      <c r="B178" s="596"/>
      <c r="C178" s="596"/>
      <c r="D178" s="597"/>
      <c r="E178" s="666"/>
      <c r="F178" s="597"/>
      <c r="G178" s="737">
        <f t="shared" si="176"/>
        <v>0</v>
      </c>
      <c r="H178" s="645"/>
      <c r="I178" s="597"/>
      <c r="J178" s="597"/>
      <c r="K178" s="424"/>
      <c r="L178" s="350"/>
      <c r="M178" s="350"/>
      <c r="N178" s="350"/>
      <c r="O178" s="350"/>
      <c r="P178" s="350"/>
      <c r="Q178" s="350"/>
    </row>
    <row r="179" spans="1:17">
      <c r="A179" s="377" t="s">
        <v>87</v>
      </c>
      <c r="B179" s="565">
        <f t="shared" ref="B179:F179" si="177">((B176)+(B177))+(B178)</f>
        <v>0</v>
      </c>
      <c r="C179" s="565">
        <f t="shared" si="177"/>
        <v>0</v>
      </c>
      <c r="D179" s="565">
        <f t="shared" si="177"/>
        <v>5000</v>
      </c>
      <c r="E179" s="565">
        <f t="shared" si="177"/>
        <v>0</v>
      </c>
      <c r="F179" s="568">
        <f t="shared" si="177"/>
        <v>5000</v>
      </c>
      <c r="G179" s="568">
        <f>SUM(G177:G178)</f>
        <v>5000</v>
      </c>
      <c r="H179" s="646">
        <f>E179/F179</f>
        <v>0</v>
      </c>
      <c r="I179" s="568">
        <f>((I176)+(I177))+(I178)</f>
        <v>5000</v>
      </c>
      <c r="J179" s="568"/>
      <c r="K179" s="426">
        <f t="shared" ref="K179" si="178">((K176)+(K177))+(K178)</f>
        <v>5000</v>
      </c>
      <c r="L179" s="378">
        <f t="shared" ref="L179:O179" si="179">((L176)+(L177))+(L178)</f>
        <v>0</v>
      </c>
      <c r="M179" s="378">
        <f t="shared" si="179"/>
        <v>0</v>
      </c>
      <c r="N179" s="378">
        <f t="shared" si="179"/>
        <v>0</v>
      </c>
      <c r="O179" s="378">
        <f t="shared" si="179"/>
        <v>0</v>
      </c>
      <c r="P179" s="378"/>
      <c r="Q179" s="351"/>
    </row>
    <row r="180" spans="1:17">
      <c r="A180" s="371" t="s">
        <v>457</v>
      </c>
      <c r="B180" s="596"/>
      <c r="C180" s="596"/>
      <c r="D180" s="597"/>
      <c r="E180" s="666"/>
      <c r="F180" s="597"/>
      <c r="G180" s="737"/>
      <c r="H180" s="645"/>
      <c r="I180" s="597"/>
      <c r="J180" s="597"/>
      <c r="K180" s="424"/>
      <c r="L180" s="350"/>
      <c r="M180" s="350"/>
      <c r="N180" s="350"/>
      <c r="O180" s="350"/>
      <c r="P180" s="350"/>
      <c r="Q180" s="350"/>
    </row>
    <row r="181" spans="1:17">
      <c r="A181" s="371" t="s">
        <v>86</v>
      </c>
      <c r="B181" s="596"/>
      <c r="C181" s="596">
        <v>4270.01</v>
      </c>
      <c r="D181" s="597">
        <v>2500</v>
      </c>
      <c r="E181" s="666"/>
      <c r="F181" s="597">
        <f>2500+500</f>
        <v>3000</v>
      </c>
      <c r="G181" s="737">
        <f>F181</f>
        <v>3000</v>
      </c>
      <c r="H181" s="645">
        <f>E181/G181</f>
        <v>0</v>
      </c>
      <c r="I181" s="597">
        <f>G181-E181</f>
        <v>3000</v>
      </c>
      <c r="J181" s="597"/>
      <c r="K181" s="425">
        <v>2500</v>
      </c>
      <c r="L181" s="393">
        <f>(16*Enrollment!D11)+2080</f>
        <v>4960</v>
      </c>
      <c r="M181" s="393">
        <f>(16*Enrollment!E11)+2080</f>
        <v>5920</v>
      </c>
      <c r="N181" s="393">
        <f>(16*Enrollment!F11)+2080</f>
        <v>6880</v>
      </c>
      <c r="O181" s="393">
        <f>(16*Enrollment!G11)+2080</f>
        <v>7840</v>
      </c>
      <c r="P181" s="393"/>
      <c r="Q181" s="354" t="s">
        <v>690</v>
      </c>
    </row>
    <row r="182" spans="1:17">
      <c r="A182" s="395" t="s">
        <v>493</v>
      </c>
      <c r="B182" s="602"/>
      <c r="C182" s="602"/>
      <c r="D182" s="597"/>
      <c r="E182" s="666"/>
      <c r="F182" s="597"/>
      <c r="G182" s="737"/>
      <c r="H182" s="645"/>
      <c r="I182" s="597"/>
      <c r="J182" s="597"/>
      <c r="K182" s="425"/>
      <c r="L182" s="393"/>
      <c r="M182" s="393"/>
      <c r="N182" s="393"/>
      <c r="O182" s="393"/>
      <c r="P182" s="393"/>
      <c r="Q182" s="354"/>
    </row>
    <row r="183" spans="1:17">
      <c r="A183" s="377" t="s">
        <v>458</v>
      </c>
      <c r="B183" s="565">
        <f t="shared" ref="B183:F183" si="180">(B180)+(B181)+B182</f>
        <v>0</v>
      </c>
      <c r="C183" s="565">
        <f t="shared" si="180"/>
        <v>4270.01</v>
      </c>
      <c r="D183" s="565">
        <f t="shared" si="180"/>
        <v>2500</v>
      </c>
      <c r="E183" s="565">
        <f t="shared" si="180"/>
        <v>0</v>
      </c>
      <c r="F183" s="568">
        <f t="shared" si="180"/>
        <v>3000</v>
      </c>
      <c r="G183" s="568">
        <f>SUM(G181:G182)</f>
        <v>3000</v>
      </c>
      <c r="H183" s="646">
        <f>E183/F183</f>
        <v>0</v>
      </c>
      <c r="I183" s="568">
        <f>(I180)+(I181)+I182</f>
        <v>3000</v>
      </c>
      <c r="J183" s="568"/>
      <c r="K183" s="426">
        <f t="shared" ref="K183" si="181">(K180)+(K181)</f>
        <v>2500</v>
      </c>
      <c r="L183" s="378">
        <f t="shared" ref="L183:O183" si="182">(L180)+(L181)</f>
        <v>4960</v>
      </c>
      <c r="M183" s="378">
        <f t="shared" si="182"/>
        <v>5920</v>
      </c>
      <c r="N183" s="378">
        <f t="shared" si="182"/>
        <v>6880</v>
      </c>
      <c r="O183" s="378">
        <f t="shared" si="182"/>
        <v>7840</v>
      </c>
      <c r="P183" s="378"/>
      <c r="Q183" s="351"/>
    </row>
    <row r="184" spans="1:17">
      <c r="A184" s="371" t="s">
        <v>88</v>
      </c>
      <c r="B184" s="596"/>
      <c r="C184" s="596"/>
      <c r="D184" s="597"/>
      <c r="E184" s="666"/>
      <c r="F184" s="597"/>
      <c r="G184" s="737"/>
      <c r="H184" s="645"/>
      <c r="I184" s="597"/>
      <c r="J184" s="597"/>
      <c r="K184" s="424"/>
      <c r="L184" s="350"/>
      <c r="M184" s="350"/>
      <c r="N184" s="350"/>
      <c r="O184" s="350"/>
      <c r="P184" s="350"/>
      <c r="Q184" s="350"/>
    </row>
    <row r="185" spans="1:17">
      <c r="A185" s="371" t="s">
        <v>89</v>
      </c>
      <c r="B185" s="596">
        <v>1532</v>
      </c>
      <c r="C185" s="596">
        <v>1408.14</v>
      </c>
      <c r="D185" s="597">
        <v>20000</v>
      </c>
      <c r="E185" s="666">
        <v>6036.58</v>
      </c>
      <c r="F185" s="597">
        <v>20000</v>
      </c>
      <c r="G185" s="737">
        <f>26640</f>
        <v>26640</v>
      </c>
      <c r="H185" s="645">
        <f>E185/G185</f>
        <v>0.22659834834834836</v>
      </c>
      <c r="I185" s="597">
        <f>G185-E185</f>
        <v>20603.419999999998</v>
      </c>
      <c r="J185" s="597"/>
      <c r="K185" s="425">
        <v>30000</v>
      </c>
      <c r="L185" s="374">
        <f>F185*1.03</f>
        <v>20600</v>
      </c>
      <c r="M185" s="374">
        <f t="shared" ref="M185:O185" si="183">L185*1.03</f>
        <v>21218</v>
      </c>
      <c r="N185" s="374">
        <f t="shared" si="183"/>
        <v>21854.54</v>
      </c>
      <c r="O185" s="374">
        <f t="shared" si="183"/>
        <v>22510.176200000002</v>
      </c>
      <c r="P185" s="374"/>
      <c r="Q185" s="350"/>
    </row>
    <row r="186" spans="1:17">
      <c r="A186" s="371" t="s">
        <v>90</v>
      </c>
      <c r="B186" s="596"/>
      <c r="C186" s="596">
        <v>1391.58</v>
      </c>
      <c r="D186" s="597">
        <v>1100</v>
      </c>
      <c r="E186" s="666">
        <v>221.92</v>
      </c>
      <c r="F186" s="597">
        <f>(200*0.5)+1000</f>
        <v>1100</v>
      </c>
      <c r="G186" s="737">
        <f>F186</f>
        <v>1100</v>
      </c>
      <c r="H186" s="645">
        <f t="shared" ref="H186" si="184">E186/G186</f>
        <v>0.20174545454545453</v>
      </c>
      <c r="I186" s="597">
        <f>G186-E186</f>
        <v>878.08</v>
      </c>
      <c r="J186" s="597"/>
      <c r="K186" s="425">
        <f t="shared" ref="K186" si="185">F186</f>
        <v>1100</v>
      </c>
      <c r="L186" s="374">
        <f>F186*1.03</f>
        <v>1133</v>
      </c>
      <c r="M186" s="374">
        <f t="shared" ref="M186:O186" si="186">L186*1.03</f>
        <v>1166.99</v>
      </c>
      <c r="N186" s="374">
        <f t="shared" si="186"/>
        <v>1201.9997000000001</v>
      </c>
      <c r="O186" s="374">
        <f t="shared" si="186"/>
        <v>1238.0596910000002</v>
      </c>
      <c r="P186" s="374"/>
      <c r="Q186" s="350" t="s">
        <v>351</v>
      </c>
    </row>
    <row r="187" spans="1:17">
      <c r="A187" s="377" t="s">
        <v>91</v>
      </c>
      <c r="B187" s="565">
        <f t="shared" ref="B187:F187" si="187">((B184)+(B185))+(B186)</f>
        <v>1532</v>
      </c>
      <c r="C187" s="565">
        <f t="shared" si="187"/>
        <v>2799.7200000000003</v>
      </c>
      <c r="D187" s="565">
        <f t="shared" si="187"/>
        <v>21100</v>
      </c>
      <c r="E187" s="565">
        <f t="shared" si="187"/>
        <v>6258.5</v>
      </c>
      <c r="F187" s="568">
        <f t="shared" si="187"/>
        <v>21100</v>
      </c>
      <c r="G187" s="568">
        <f>SUM(G185:G186)</f>
        <v>27740</v>
      </c>
      <c r="H187" s="646">
        <f>E187/F187</f>
        <v>0.29661137440758295</v>
      </c>
      <c r="I187" s="568">
        <f>((I184)+(I185))+(I186)</f>
        <v>21481.5</v>
      </c>
      <c r="J187" s="568"/>
      <c r="K187" s="426">
        <f t="shared" ref="K187" si="188">((K184)+(K185))+(K186)</f>
        <v>31100</v>
      </c>
      <c r="L187" s="378">
        <f t="shared" ref="L187:O187" si="189">((L184)+(L185))+(L186)</f>
        <v>21733</v>
      </c>
      <c r="M187" s="378">
        <f t="shared" si="189"/>
        <v>22384.99</v>
      </c>
      <c r="N187" s="378">
        <f t="shared" si="189"/>
        <v>23056.539700000001</v>
      </c>
      <c r="O187" s="378">
        <f t="shared" si="189"/>
        <v>23748.235891</v>
      </c>
      <c r="P187" s="378"/>
      <c r="Q187" s="351"/>
    </row>
    <row r="188" spans="1:17">
      <c r="A188" s="371" t="s">
        <v>92</v>
      </c>
      <c r="B188" s="596"/>
      <c r="C188" s="596"/>
      <c r="D188" s="597"/>
      <c r="E188" s="666"/>
      <c r="F188" s="597"/>
      <c r="G188" s="737"/>
      <c r="H188" s="645"/>
      <c r="I188" s="597"/>
      <c r="J188" s="597"/>
      <c r="K188" s="424"/>
      <c r="L188" s="350"/>
      <c r="M188" s="350"/>
      <c r="N188" s="350"/>
      <c r="O188" s="350"/>
      <c r="P188" s="350"/>
      <c r="Q188" s="350"/>
    </row>
    <row r="189" spans="1:17">
      <c r="A189" s="371" t="s">
        <v>93</v>
      </c>
      <c r="B189" s="601"/>
      <c r="C189" s="601">
        <v>3506.25</v>
      </c>
      <c r="D189" s="597">
        <v>6000</v>
      </c>
      <c r="E189" s="666">
        <v>157.9</v>
      </c>
      <c r="F189" s="597">
        <f>9000+8000</f>
        <v>17000</v>
      </c>
      <c r="G189" s="737">
        <v>6000</v>
      </c>
      <c r="H189" s="645">
        <f t="shared" ref="H189:H191" si="190">E189/G189</f>
        <v>2.6316666666666669E-2</v>
      </c>
      <c r="I189" s="597">
        <f t="shared" ref="I189:I191" si="191">G189-E189</f>
        <v>5842.1</v>
      </c>
      <c r="J189" s="597"/>
      <c r="K189" s="425">
        <f t="shared" ref="K189:K191" si="192">F189</f>
        <v>17000</v>
      </c>
      <c r="L189" s="350"/>
      <c r="M189" s="350"/>
      <c r="N189" s="350"/>
      <c r="O189" s="350"/>
      <c r="P189" s="350"/>
      <c r="Q189" s="350" t="s">
        <v>353</v>
      </c>
    </row>
    <row r="190" spans="1:17">
      <c r="A190" s="371" t="s">
        <v>94</v>
      </c>
      <c r="B190" s="599">
        <v>10500</v>
      </c>
      <c r="C190" s="599">
        <v>7225</v>
      </c>
      <c r="D190" s="574">
        <v>5000</v>
      </c>
      <c r="E190" s="667"/>
      <c r="F190" s="574">
        <f>5000+5000</f>
        <v>10000</v>
      </c>
      <c r="G190" s="738">
        <v>20000</v>
      </c>
      <c r="H190" s="644">
        <f t="shared" si="190"/>
        <v>0</v>
      </c>
      <c r="I190" s="574">
        <f t="shared" si="191"/>
        <v>20000</v>
      </c>
      <c r="J190" s="574"/>
      <c r="K190" s="425">
        <f t="shared" si="192"/>
        <v>10000</v>
      </c>
      <c r="L190" s="381">
        <v>5000</v>
      </c>
      <c r="M190" s="381">
        <v>5000</v>
      </c>
      <c r="N190" s="381">
        <v>5000</v>
      </c>
      <c r="O190" s="381">
        <v>5000</v>
      </c>
      <c r="P190" s="381"/>
      <c r="Q190" s="350" t="s">
        <v>955</v>
      </c>
    </row>
    <row r="191" spans="1:17">
      <c r="A191" s="375" t="s">
        <v>95</v>
      </c>
      <c r="B191" s="601"/>
      <c r="C191" s="601">
        <v>877</v>
      </c>
      <c r="D191" s="597">
        <v>20000</v>
      </c>
      <c r="E191" s="666"/>
      <c r="F191" s="597">
        <v>5000</v>
      </c>
      <c r="G191" s="737">
        <v>5000</v>
      </c>
      <c r="H191" s="645">
        <f t="shared" si="190"/>
        <v>0</v>
      </c>
      <c r="I191" s="597">
        <f t="shared" si="191"/>
        <v>5000</v>
      </c>
      <c r="J191" s="597"/>
      <c r="K191" s="425">
        <f t="shared" si="192"/>
        <v>5000</v>
      </c>
      <c r="L191" s="379">
        <v>30000</v>
      </c>
      <c r="M191" s="379">
        <v>30000</v>
      </c>
      <c r="N191" s="379">
        <v>30000</v>
      </c>
      <c r="O191" s="379">
        <v>30000</v>
      </c>
      <c r="P191" s="379"/>
      <c r="Q191" s="353" t="s">
        <v>352</v>
      </c>
    </row>
    <row r="192" spans="1:17">
      <c r="A192" s="377" t="s">
        <v>96</v>
      </c>
      <c r="B192" s="565">
        <f t="shared" ref="B192:F192" si="193">(((B188)+(B189))+(B190))+(B191)</f>
        <v>10500</v>
      </c>
      <c r="C192" s="565">
        <f t="shared" si="193"/>
        <v>11608.25</v>
      </c>
      <c r="D192" s="565">
        <f t="shared" si="193"/>
        <v>31000</v>
      </c>
      <c r="E192" s="565">
        <f t="shared" si="193"/>
        <v>157.9</v>
      </c>
      <c r="F192" s="568">
        <f t="shared" si="193"/>
        <v>32000</v>
      </c>
      <c r="G192" s="568">
        <f>SUM(G189:G191)</f>
        <v>31000</v>
      </c>
      <c r="H192" s="646">
        <f>E192/F192</f>
        <v>4.9343750000000004E-3</v>
      </c>
      <c r="I192" s="568">
        <f>(((I188)+(I189))+(I190))+(I191)</f>
        <v>30842.1</v>
      </c>
      <c r="J192" s="568"/>
      <c r="K192" s="426">
        <f t="shared" ref="K192" si="194">(((K188)+(K189))+(K190))+(K191)</f>
        <v>32000</v>
      </c>
      <c r="L192" s="378">
        <f t="shared" ref="L192:O192" si="195">(((L188)+(L189))+(L190))+(L191)</f>
        <v>35000</v>
      </c>
      <c r="M192" s="378">
        <f t="shared" si="195"/>
        <v>35000</v>
      </c>
      <c r="N192" s="378">
        <f t="shared" si="195"/>
        <v>35000</v>
      </c>
      <c r="O192" s="378">
        <f t="shared" si="195"/>
        <v>35000</v>
      </c>
      <c r="P192" s="378"/>
      <c r="Q192" s="351"/>
    </row>
    <row r="193" spans="1:17">
      <c r="A193" s="371" t="s">
        <v>97</v>
      </c>
      <c r="B193" s="596"/>
      <c r="C193" s="596"/>
      <c r="D193" s="597"/>
      <c r="E193" s="666"/>
      <c r="F193" s="597"/>
      <c r="G193" s="737"/>
      <c r="H193" s="645"/>
      <c r="I193" s="597"/>
      <c r="J193" s="597"/>
      <c r="K193" s="424"/>
      <c r="L193" s="350"/>
      <c r="M193" s="350"/>
      <c r="N193" s="350"/>
      <c r="O193" s="350"/>
      <c r="P193" s="350"/>
      <c r="Q193" s="350"/>
    </row>
    <row r="194" spans="1:17">
      <c r="A194" s="371" t="s">
        <v>98</v>
      </c>
      <c r="B194" s="598">
        <v>12030</v>
      </c>
      <c r="C194" s="598">
        <v>2946.58</v>
      </c>
      <c r="D194" s="574">
        <v>6000</v>
      </c>
      <c r="E194" s="667"/>
      <c r="F194" s="574">
        <f>(100*('Staffing Detail'!L41-1))+6245</f>
        <v>8245</v>
      </c>
      <c r="G194" s="738">
        <v>3000</v>
      </c>
      <c r="H194" s="644">
        <f>E194/G194</f>
        <v>0</v>
      </c>
      <c r="I194" s="574">
        <f>G194-E194</f>
        <v>3000</v>
      </c>
      <c r="J194" s="574"/>
      <c r="K194" s="425">
        <f>F194</f>
        <v>8245</v>
      </c>
      <c r="L194" s="381"/>
      <c r="M194" s="381"/>
      <c r="N194" s="381"/>
      <c r="O194" s="381"/>
      <c r="P194" s="381"/>
      <c r="Q194" s="350" t="s">
        <v>688</v>
      </c>
    </row>
    <row r="195" spans="1:17">
      <c r="A195" s="377" t="s">
        <v>99</v>
      </c>
      <c r="B195" s="565">
        <f t="shared" ref="B195:F195" si="196">(B193)+(B194)</f>
        <v>12030</v>
      </c>
      <c r="C195" s="565">
        <f t="shared" si="196"/>
        <v>2946.58</v>
      </c>
      <c r="D195" s="565">
        <f t="shared" si="196"/>
        <v>6000</v>
      </c>
      <c r="E195" s="565">
        <f t="shared" si="196"/>
        <v>0</v>
      </c>
      <c r="F195" s="568">
        <f t="shared" si="196"/>
        <v>8245</v>
      </c>
      <c r="G195" s="568">
        <f>SUM(G194)</f>
        <v>3000</v>
      </c>
      <c r="H195" s="646">
        <f>E195/F195</f>
        <v>0</v>
      </c>
      <c r="I195" s="568">
        <f>(I193)+(I194)</f>
        <v>3000</v>
      </c>
      <c r="J195" s="568"/>
      <c r="K195" s="426">
        <f t="shared" ref="K195" si="197">(K193)+(K194)</f>
        <v>8245</v>
      </c>
      <c r="L195" s="378">
        <f t="shared" ref="L195:O195" si="198">(L193)+(L194)</f>
        <v>0</v>
      </c>
      <c r="M195" s="378">
        <f t="shared" si="198"/>
        <v>0</v>
      </c>
      <c r="N195" s="378">
        <f t="shared" si="198"/>
        <v>0</v>
      </c>
      <c r="O195" s="378">
        <f t="shared" si="198"/>
        <v>0</v>
      </c>
      <c r="P195" s="378"/>
      <c r="Q195" s="351"/>
    </row>
    <row r="196" spans="1:17">
      <c r="A196" s="371" t="s">
        <v>100</v>
      </c>
      <c r="B196" s="596"/>
      <c r="C196" s="596"/>
      <c r="D196" s="597"/>
      <c r="E196" s="666"/>
      <c r="F196" s="597"/>
      <c r="G196" s="737"/>
      <c r="H196" s="645"/>
      <c r="I196" s="597"/>
      <c r="J196" s="597"/>
      <c r="K196" s="424"/>
      <c r="L196" s="350"/>
      <c r="M196" s="350"/>
      <c r="N196" s="350"/>
      <c r="O196" s="350"/>
      <c r="P196" s="350"/>
      <c r="Q196" s="350"/>
    </row>
    <row r="197" spans="1:17">
      <c r="A197" s="371" t="s">
        <v>101</v>
      </c>
      <c r="B197" s="598">
        <v>33000</v>
      </c>
      <c r="C197" s="598">
        <v>25863.54</v>
      </c>
      <c r="D197" s="574">
        <v>15000</v>
      </c>
      <c r="E197" s="667">
        <v>2051.87</v>
      </c>
      <c r="F197" s="574">
        <v>18060</v>
      </c>
      <c r="G197" s="738">
        <f t="shared" ref="G197" si="199">F197</f>
        <v>18060</v>
      </c>
      <c r="H197" s="644">
        <f>E197/G197</f>
        <v>0.1136140642303433</v>
      </c>
      <c r="I197" s="574">
        <f>G197-E197</f>
        <v>16008.130000000001</v>
      </c>
      <c r="J197" s="574"/>
      <c r="K197" s="425">
        <f>F197</f>
        <v>18060</v>
      </c>
      <c r="L197" s="381">
        <v>15000</v>
      </c>
      <c r="M197" s="381">
        <v>15000</v>
      </c>
      <c r="N197" s="381">
        <v>15000</v>
      </c>
      <c r="O197" s="381">
        <v>15000</v>
      </c>
      <c r="P197" s="381"/>
      <c r="Q197" s="350" t="s">
        <v>354</v>
      </c>
    </row>
    <row r="198" spans="1:17">
      <c r="A198" s="377" t="s">
        <v>104</v>
      </c>
      <c r="B198" s="565">
        <f t="shared" ref="B198:F198" si="200">(B196)+(B197)</f>
        <v>33000</v>
      </c>
      <c r="C198" s="565">
        <f t="shared" si="200"/>
        <v>25863.54</v>
      </c>
      <c r="D198" s="565">
        <f t="shared" si="200"/>
        <v>15000</v>
      </c>
      <c r="E198" s="565">
        <f t="shared" si="200"/>
        <v>2051.87</v>
      </c>
      <c r="F198" s="568">
        <f t="shared" si="200"/>
        <v>18060</v>
      </c>
      <c r="G198" s="568">
        <f>SUM(G197)</f>
        <v>18060</v>
      </c>
      <c r="H198" s="646">
        <f>E198/F198</f>
        <v>0.1136140642303433</v>
      </c>
      <c r="I198" s="568">
        <f>(I196)+(I197)</f>
        <v>16008.130000000001</v>
      </c>
      <c r="J198" s="568"/>
      <c r="K198" s="426">
        <f t="shared" ref="K198" si="201">(K196)+(K197)</f>
        <v>18060</v>
      </c>
      <c r="L198" s="378">
        <f t="shared" ref="L198:O198" si="202">(L196)+(L197)</f>
        <v>15000</v>
      </c>
      <c r="M198" s="378">
        <f t="shared" si="202"/>
        <v>15000</v>
      </c>
      <c r="N198" s="378">
        <f t="shared" si="202"/>
        <v>15000</v>
      </c>
      <c r="O198" s="378">
        <f t="shared" si="202"/>
        <v>15000</v>
      </c>
      <c r="P198" s="378"/>
      <c r="Q198" s="351"/>
    </row>
    <row r="199" spans="1:17">
      <c r="A199" s="371" t="s">
        <v>459</v>
      </c>
      <c r="B199" s="596"/>
      <c r="C199" s="596"/>
      <c r="D199" s="597"/>
      <c r="E199" s="666"/>
      <c r="F199" s="597"/>
      <c r="G199" s="737"/>
      <c r="H199" s="645"/>
      <c r="I199" s="597"/>
      <c r="J199" s="597"/>
      <c r="K199" s="424"/>
      <c r="L199" s="350"/>
      <c r="M199" s="350"/>
      <c r="N199" s="350"/>
      <c r="O199" s="350"/>
      <c r="P199" s="350"/>
      <c r="Q199" s="350"/>
    </row>
    <row r="200" spans="1:17">
      <c r="A200" s="371" t="s">
        <v>102</v>
      </c>
      <c r="B200" s="598"/>
      <c r="C200" s="598"/>
      <c r="D200" s="574"/>
      <c r="E200" s="667">
        <v>59.85</v>
      </c>
      <c r="F200" s="574">
        <v>8000</v>
      </c>
      <c r="G200" s="738">
        <f t="shared" ref="G200" si="203">F200</f>
        <v>8000</v>
      </c>
      <c r="H200" s="644">
        <f>E200/G200</f>
        <v>7.4812500000000001E-3</v>
      </c>
      <c r="I200" s="574">
        <f>G200-E200</f>
        <v>7940.15</v>
      </c>
      <c r="J200" s="574"/>
      <c r="K200" s="427">
        <f>B200*(1+Enrollment!C12)</f>
        <v>0</v>
      </c>
      <c r="L200" s="381">
        <f>F200*(1+Enrollment!D12)</f>
        <v>12000</v>
      </c>
      <c r="M200" s="381">
        <f>L200*(1+Enrollment!E12)</f>
        <v>16000</v>
      </c>
      <c r="N200" s="381">
        <f>M200*(1+Enrollment!F12)</f>
        <v>20000</v>
      </c>
      <c r="O200" s="381">
        <f>N200*(1+Enrollment!G12)</f>
        <v>24000</v>
      </c>
      <c r="P200" s="381"/>
      <c r="Q200" s="350"/>
    </row>
    <row r="201" spans="1:17">
      <c r="A201" s="377" t="s">
        <v>379</v>
      </c>
      <c r="B201" s="565">
        <f t="shared" ref="B201:F201" si="204">(B199)+(B200)</f>
        <v>0</v>
      </c>
      <c r="C201" s="565">
        <f t="shared" si="204"/>
        <v>0</v>
      </c>
      <c r="D201" s="565">
        <f t="shared" si="204"/>
        <v>0</v>
      </c>
      <c r="E201" s="565">
        <f t="shared" si="204"/>
        <v>59.85</v>
      </c>
      <c r="F201" s="568">
        <f t="shared" si="204"/>
        <v>8000</v>
      </c>
      <c r="G201" s="568">
        <f>SUM(G200)</f>
        <v>8000</v>
      </c>
      <c r="H201" s="646">
        <f>E201/F201</f>
        <v>7.4812500000000001E-3</v>
      </c>
      <c r="I201" s="568">
        <f>(I199)+(I200)</f>
        <v>7940.15</v>
      </c>
      <c r="J201" s="568"/>
      <c r="K201" s="424"/>
      <c r="L201" s="351"/>
      <c r="M201" s="351"/>
      <c r="N201" s="351"/>
      <c r="O201" s="351"/>
      <c r="P201" s="351"/>
      <c r="Q201" s="351"/>
    </row>
    <row r="202" spans="1:17">
      <c r="A202" s="371" t="s">
        <v>105</v>
      </c>
      <c r="B202" s="596"/>
      <c r="C202" s="596"/>
      <c r="D202" s="597"/>
      <c r="E202" s="666"/>
      <c r="F202" s="597"/>
      <c r="G202" s="737"/>
      <c r="H202" s="645"/>
      <c r="I202" s="597"/>
      <c r="J202" s="597"/>
      <c r="K202" s="424"/>
      <c r="L202" s="350"/>
      <c r="M202" s="350"/>
      <c r="N202" s="350"/>
      <c r="O202" s="350"/>
      <c r="P202" s="350"/>
      <c r="Q202" s="350"/>
    </row>
    <row r="203" spans="1:17">
      <c r="A203" s="371" t="s">
        <v>103</v>
      </c>
      <c r="B203" s="601"/>
      <c r="C203" s="601">
        <v>490.82</v>
      </c>
      <c r="D203" s="597">
        <v>2500</v>
      </c>
      <c r="E203" s="666">
        <v>559.74</v>
      </c>
      <c r="F203" s="597">
        <v>2500</v>
      </c>
      <c r="G203" s="737">
        <f t="shared" ref="G203:G204" si="205">F203</f>
        <v>2500</v>
      </c>
      <c r="H203" s="645">
        <f t="shared" ref="H203:H204" si="206">E203/G203</f>
        <v>0.22389600000000001</v>
      </c>
      <c r="I203" s="597">
        <f>G203-E203</f>
        <v>1940.26</v>
      </c>
      <c r="J203" s="597"/>
      <c r="K203" s="425">
        <f t="shared" ref="K203:K204" si="207">F203</f>
        <v>2500</v>
      </c>
      <c r="L203" s="350"/>
      <c r="M203" s="350"/>
      <c r="N203" s="350"/>
      <c r="O203" s="350"/>
      <c r="P203" s="350"/>
      <c r="Q203" s="350"/>
    </row>
    <row r="204" spans="1:17">
      <c r="A204" s="371" t="s">
        <v>106</v>
      </c>
      <c r="B204" s="599">
        <v>2872</v>
      </c>
      <c r="C204" s="599">
        <v>4823.16</v>
      </c>
      <c r="D204" s="574">
        <v>3000</v>
      </c>
      <c r="E204" s="667">
        <v>169.39</v>
      </c>
      <c r="F204" s="574">
        <v>3000</v>
      </c>
      <c r="G204" s="738">
        <f t="shared" si="205"/>
        <v>3000</v>
      </c>
      <c r="H204" s="644">
        <f t="shared" si="206"/>
        <v>5.6463333333333331E-2</v>
      </c>
      <c r="I204" s="574">
        <f>G204-E204</f>
        <v>2830.61</v>
      </c>
      <c r="J204" s="574"/>
      <c r="K204" s="425">
        <f t="shared" si="207"/>
        <v>3000</v>
      </c>
      <c r="L204" s="353"/>
      <c r="M204" s="353"/>
      <c r="N204" s="353"/>
      <c r="O204" s="353"/>
      <c r="P204" s="353"/>
      <c r="Q204" s="353"/>
    </row>
    <row r="205" spans="1:17">
      <c r="A205" s="377" t="s">
        <v>107</v>
      </c>
      <c r="B205" s="565">
        <f t="shared" ref="B205:F205" si="208">((B202)+(B203))+(B204)</f>
        <v>2872</v>
      </c>
      <c r="C205" s="565">
        <f t="shared" si="208"/>
        <v>5313.98</v>
      </c>
      <c r="D205" s="565">
        <f t="shared" si="208"/>
        <v>5500</v>
      </c>
      <c r="E205" s="565">
        <f t="shared" si="208"/>
        <v>729.13</v>
      </c>
      <c r="F205" s="568">
        <f t="shared" si="208"/>
        <v>5500</v>
      </c>
      <c r="G205" s="568">
        <f>SUM(G203:G204)</f>
        <v>5500</v>
      </c>
      <c r="H205" s="646">
        <f>E205/F205</f>
        <v>0.13256909090909091</v>
      </c>
      <c r="I205" s="568">
        <f>((I202)+(I203))+(I204)</f>
        <v>4770.87</v>
      </c>
      <c r="J205" s="568"/>
      <c r="K205" s="426">
        <f t="shared" ref="K205" si="209">((K202)+(K203))+(K204)</f>
        <v>5500</v>
      </c>
      <c r="L205" s="378">
        <f t="shared" ref="L205:O205" si="210">((L202)+(L203))+(L204)</f>
        <v>0</v>
      </c>
      <c r="M205" s="378">
        <f t="shared" si="210"/>
        <v>0</v>
      </c>
      <c r="N205" s="378">
        <f t="shared" si="210"/>
        <v>0</v>
      </c>
      <c r="O205" s="378">
        <f t="shared" si="210"/>
        <v>0</v>
      </c>
      <c r="P205" s="378"/>
      <c r="Q205" s="351"/>
    </row>
    <row r="206" spans="1:17">
      <c r="A206" s="371" t="s">
        <v>108</v>
      </c>
      <c r="B206" s="596"/>
      <c r="C206" s="596"/>
      <c r="D206" s="597"/>
      <c r="E206" s="666"/>
      <c r="F206" s="597"/>
      <c r="G206" s="737"/>
      <c r="H206" s="645"/>
      <c r="I206" s="597"/>
      <c r="J206" s="597"/>
      <c r="K206" s="424"/>
      <c r="L206" s="350"/>
      <c r="M206" s="350"/>
      <c r="N206" s="350"/>
      <c r="O206" s="350"/>
      <c r="P206" s="350"/>
      <c r="Q206" s="350"/>
    </row>
    <row r="207" spans="1:17">
      <c r="A207" s="371" t="s">
        <v>109</v>
      </c>
      <c r="B207" s="601"/>
      <c r="C207" s="601"/>
      <c r="D207" s="597">
        <v>4000</v>
      </c>
      <c r="E207" s="666">
        <v>529.36</v>
      </c>
      <c r="F207" s="597">
        <v>4000</v>
      </c>
      <c r="G207" s="737">
        <f t="shared" ref="G207" si="211">F207</f>
        <v>4000</v>
      </c>
      <c r="H207" s="645">
        <f>E207/G207</f>
        <v>0.13234000000000001</v>
      </c>
      <c r="I207" s="597">
        <f>G207-E207</f>
        <v>3470.64</v>
      </c>
      <c r="J207" s="597"/>
      <c r="K207" s="425">
        <f>F207</f>
        <v>4000</v>
      </c>
      <c r="L207" s="353"/>
      <c r="M207" s="353"/>
      <c r="N207" s="353"/>
      <c r="O207" s="353"/>
      <c r="P207" s="353"/>
      <c r="Q207" s="353" t="s">
        <v>620</v>
      </c>
    </row>
    <row r="208" spans="1:17">
      <c r="A208" s="377" t="s">
        <v>110</v>
      </c>
      <c r="B208" s="565">
        <f t="shared" ref="B208:F208" si="212">(B206)+(B207)</f>
        <v>0</v>
      </c>
      <c r="C208" s="565">
        <f t="shared" si="212"/>
        <v>0</v>
      </c>
      <c r="D208" s="568">
        <f t="shared" si="212"/>
        <v>4000</v>
      </c>
      <c r="E208" s="565">
        <f t="shared" si="212"/>
        <v>529.36</v>
      </c>
      <c r="F208" s="568">
        <f t="shared" si="212"/>
        <v>4000</v>
      </c>
      <c r="G208" s="568">
        <f>SUM(G207)</f>
        <v>4000</v>
      </c>
      <c r="H208" s="646">
        <f>E208/F208</f>
        <v>0.13234000000000001</v>
      </c>
      <c r="I208" s="568">
        <f>(I206)+(I207)</f>
        <v>3470.64</v>
      </c>
      <c r="J208" s="568"/>
      <c r="K208" s="426">
        <f t="shared" ref="K208" si="213">(K206)+(K207)</f>
        <v>4000</v>
      </c>
      <c r="L208" s="378">
        <f t="shared" ref="L208:O208" si="214">(L206)+(L207)</f>
        <v>0</v>
      </c>
      <c r="M208" s="378">
        <f t="shared" si="214"/>
        <v>0</v>
      </c>
      <c r="N208" s="378">
        <f t="shared" si="214"/>
        <v>0</v>
      </c>
      <c r="O208" s="378">
        <f t="shared" si="214"/>
        <v>0</v>
      </c>
      <c r="P208" s="378"/>
      <c r="Q208" s="351"/>
    </row>
    <row r="209" spans="1:17">
      <c r="A209" s="371" t="s">
        <v>111</v>
      </c>
      <c r="B209" s="596"/>
      <c r="C209" s="596"/>
      <c r="D209" s="597"/>
      <c r="E209" s="666"/>
      <c r="F209" s="597"/>
      <c r="G209" s="737"/>
      <c r="H209" s="645"/>
      <c r="I209" s="597"/>
      <c r="J209" s="597"/>
      <c r="K209" s="424"/>
      <c r="L209" s="350"/>
      <c r="M209" s="350"/>
      <c r="N209" s="350"/>
      <c r="O209" s="350"/>
      <c r="P209" s="350"/>
      <c r="Q209" s="350"/>
    </row>
    <row r="210" spans="1:17">
      <c r="A210" s="371" t="s">
        <v>112</v>
      </c>
      <c r="B210" s="596"/>
      <c r="C210" s="596"/>
      <c r="D210" s="597">
        <v>200</v>
      </c>
      <c r="E210" s="666"/>
      <c r="F210" s="597">
        <v>200</v>
      </c>
      <c r="G210" s="737">
        <f t="shared" ref="G210:G214" si="215">F210</f>
        <v>200</v>
      </c>
      <c r="H210" s="645">
        <f>E210/G210</f>
        <v>0</v>
      </c>
      <c r="I210" s="597">
        <f t="shared" ref="I210:I214" si="216">G210-E210</f>
        <v>200</v>
      </c>
      <c r="J210" s="597"/>
      <c r="K210" s="425">
        <v>200</v>
      </c>
      <c r="L210" s="374">
        <v>200</v>
      </c>
      <c r="M210" s="374">
        <v>200</v>
      </c>
      <c r="N210" s="374">
        <v>200</v>
      </c>
      <c r="O210" s="374">
        <v>200</v>
      </c>
      <c r="P210" s="374"/>
      <c r="Q210" s="350" t="s">
        <v>355</v>
      </c>
    </row>
    <row r="211" spans="1:17">
      <c r="A211" s="371" t="s">
        <v>113</v>
      </c>
      <c r="B211" s="596"/>
      <c r="C211" s="596"/>
      <c r="D211" s="597"/>
      <c r="E211" s="666">
        <v>775.87</v>
      </c>
      <c r="F211" s="597"/>
      <c r="G211" s="737">
        <f t="shared" si="215"/>
        <v>0</v>
      </c>
      <c r="H211" s="645"/>
      <c r="I211" s="597">
        <f t="shared" si="216"/>
        <v>-775.87</v>
      </c>
      <c r="J211" s="597"/>
      <c r="K211" s="425"/>
      <c r="L211" s="374"/>
      <c r="M211" s="374"/>
      <c r="N211" s="374"/>
      <c r="O211" s="374"/>
      <c r="P211" s="374"/>
      <c r="Q211" s="350"/>
    </row>
    <row r="212" spans="1:17">
      <c r="A212" s="371" t="s">
        <v>114</v>
      </c>
      <c r="B212" s="598"/>
      <c r="C212" s="598">
        <v>57.01</v>
      </c>
      <c r="D212" s="574">
        <v>1000</v>
      </c>
      <c r="E212" s="667"/>
      <c r="F212" s="574">
        <v>1000</v>
      </c>
      <c r="G212" s="738">
        <f t="shared" si="215"/>
        <v>1000</v>
      </c>
      <c r="H212" s="644">
        <f>E212/G212</f>
        <v>0</v>
      </c>
      <c r="I212" s="574">
        <f t="shared" si="216"/>
        <v>1000</v>
      </c>
      <c r="J212" s="574"/>
      <c r="K212" s="427">
        <v>1000</v>
      </c>
      <c r="L212" s="381">
        <v>1000</v>
      </c>
      <c r="M212" s="381">
        <v>1000</v>
      </c>
      <c r="N212" s="381">
        <v>1000</v>
      </c>
      <c r="O212" s="381">
        <v>1000</v>
      </c>
      <c r="P212" s="381"/>
      <c r="Q212" s="350"/>
    </row>
    <row r="213" spans="1:17">
      <c r="A213" s="371" t="s">
        <v>115</v>
      </c>
      <c r="B213" s="598"/>
      <c r="C213" s="598">
        <v>705.09</v>
      </c>
      <c r="D213" s="574"/>
      <c r="E213" s="667">
        <v>98.13</v>
      </c>
      <c r="F213" s="574"/>
      <c r="G213" s="738">
        <f t="shared" si="215"/>
        <v>0</v>
      </c>
      <c r="H213" s="644"/>
      <c r="I213" s="574">
        <f t="shared" si="216"/>
        <v>-98.13</v>
      </c>
      <c r="J213" s="574"/>
      <c r="K213" s="424"/>
      <c r="L213" s="350"/>
      <c r="M213" s="350"/>
      <c r="N213" s="350"/>
      <c r="O213" s="350"/>
      <c r="P213" s="350"/>
      <c r="Q213" s="350"/>
    </row>
    <row r="214" spans="1:17">
      <c r="A214" s="371" t="s">
        <v>116</v>
      </c>
      <c r="B214" s="598"/>
      <c r="C214" s="598">
        <v>2.16</v>
      </c>
      <c r="D214" s="574"/>
      <c r="E214" s="667"/>
      <c r="F214" s="574"/>
      <c r="G214" s="738">
        <f t="shared" si="215"/>
        <v>0</v>
      </c>
      <c r="H214" s="644"/>
      <c r="I214" s="574">
        <f t="shared" si="216"/>
        <v>0</v>
      </c>
      <c r="J214" s="574"/>
      <c r="K214" s="424"/>
      <c r="L214" s="350"/>
      <c r="M214" s="350"/>
      <c r="N214" s="350"/>
      <c r="O214" s="350"/>
      <c r="P214" s="350"/>
      <c r="Q214" s="350"/>
    </row>
    <row r="215" spans="1:17">
      <c r="A215" s="377" t="s">
        <v>117</v>
      </c>
      <c r="B215" s="565">
        <f t="shared" ref="B215:F215" si="217">(((((B209)+(B210))+(B211))+(B212))+(B213))+(B214)</f>
        <v>0</v>
      </c>
      <c r="C215" s="565">
        <f t="shared" si="217"/>
        <v>764.26</v>
      </c>
      <c r="D215" s="565">
        <f t="shared" si="217"/>
        <v>1200</v>
      </c>
      <c r="E215" s="565">
        <f t="shared" si="217"/>
        <v>874</v>
      </c>
      <c r="F215" s="568">
        <f t="shared" si="217"/>
        <v>1200</v>
      </c>
      <c r="G215" s="568">
        <f>SUM(G210:G214)</f>
        <v>1200</v>
      </c>
      <c r="H215" s="646">
        <f>E215/F215</f>
        <v>0.72833333333333339</v>
      </c>
      <c r="I215" s="568">
        <f>(((((I209)+(I210))+(I211))+(I212))+(I213))+(I214)</f>
        <v>326</v>
      </c>
      <c r="J215" s="568"/>
      <c r="K215" s="426">
        <f t="shared" ref="K215" si="218">(((((K209)+(K210))+(K211))+(K212))+(K213))+(K214)</f>
        <v>1200</v>
      </c>
      <c r="L215" s="378">
        <f t="shared" ref="L215:O215" si="219">(((((L209)+(L210))+(L211))+(L212))+(L213))+(L214)</f>
        <v>1200</v>
      </c>
      <c r="M215" s="378">
        <f t="shared" si="219"/>
        <v>1200</v>
      </c>
      <c r="N215" s="378">
        <f t="shared" si="219"/>
        <v>1200</v>
      </c>
      <c r="O215" s="378">
        <f t="shared" si="219"/>
        <v>1200</v>
      </c>
      <c r="P215" s="378"/>
      <c r="Q215" s="351"/>
    </row>
    <row r="216" spans="1:17">
      <c r="A216" s="371" t="s">
        <v>118</v>
      </c>
      <c r="B216" s="596"/>
      <c r="C216" s="596"/>
      <c r="D216" s="597"/>
      <c r="E216" s="666"/>
      <c r="F216" s="597"/>
      <c r="G216" s="737"/>
      <c r="H216" s="645"/>
      <c r="I216" s="597"/>
      <c r="J216" s="597"/>
      <c r="K216" s="424"/>
      <c r="L216" s="350"/>
      <c r="M216" s="350"/>
      <c r="N216" s="350"/>
      <c r="O216" s="350"/>
      <c r="P216" s="350"/>
      <c r="Q216" s="350"/>
    </row>
    <row r="217" spans="1:17">
      <c r="A217" s="395" t="s">
        <v>119</v>
      </c>
      <c r="B217" s="602">
        <v>4179</v>
      </c>
      <c r="C217" s="602">
        <v>2284.64</v>
      </c>
      <c r="D217" s="597">
        <v>30531.66</v>
      </c>
      <c r="E217" s="666">
        <f>260+7435.35</f>
        <v>7695.35</v>
      </c>
      <c r="F217" s="597">
        <v>30531.66</v>
      </c>
      <c r="G217" s="737">
        <v>39471</v>
      </c>
      <c r="H217" s="645">
        <f>E217/G217</f>
        <v>0.19496212409110486</v>
      </c>
      <c r="I217" s="597">
        <f>G217-E217</f>
        <v>31775.65</v>
      </c>
      <c r="J217" s="597"/>
      <c r="K217" s="425">
        <f>F217</f>
        <v>30531.66</v>
      </c>
      <c r="L217" s="354"/>
      <c r="M217" s="354"/>
      <c r="N217" s="354"/>
      <c r="O217" s="354"/>
      <c r="P217" s="354"/>
      <c r="Q217" s="354" t="s">
        <v>694</v>
      </c>
    </row>
    <row r="218" spans="1:17">
      <c r="A218" s="371" t="s">
        <v>120</v>
      </c>
      <c r="B218" s="596"/>
      <c r="C218" s="596"/>
      <c r="D218" s="597"/>
      <c r="E218" s="666"/>
      <c r="F218" s="597"/>
      <c r="G218" s="737"/>
      <c r="H218" s="645"/>
      <c r="I218" s="597"/>
      <c r="J218" s="597"/>
      <c r="K218" s="424"/>
      <c r="L218" s="350"/>
      <c r="M218" s="350"/>
      <c r="N218" s="350"/>
      <c r="O218" s="350"/>
      <c r="P218" s="350"/>
      <c r="Q218" s="350"/>
    </row>
    <row r="219" spans="1:17">
      <c r="A219" s="377" t="s">
        <v>121</v>
      </c>
      <c r="B219" s="565">
        <f t="shared" ref="B219:F219" si="220">((B216)+(B217))+(B218)</f>
        <v>4179</v>
      </c>
      <c r="C219" s="565">
        <f t="shared" si="220"/>
        <v>2284.64</v>
      </c>
      <c r="D219" s="565">
        <f t="shared" si="220"/>
        <v>30531.66</v>
      </c>
      <c r="E219" s="565">
        <f t="shared" si="220"/>
        <v>7695.35</v>
      </c>
      <c r="F219" s="568">
        <f t="shared" si="220"/>
        <v>30531.66</v>
      </c>
      <c r="G219" s="568">
        <f>SUM(G217:G218)</f>
        <v>39471</v>
      </c>
      <c r="H219" s="646">
        <f>E219/F219</f>
        <v>0.25204492647959531</v>
      </c>
      <c r="I219" s="568">
        <f>((I216)+(I217))+(I218)</f>
        <v>31775.65</v>
      </c>
      <c r="J219" s="568"/>
      <c r="K219" s="430">
        <f>((K216)+(K217))+(K218)</f>
        <v>30531.66</v>
      </c>
      <c r="L219" s="351"/>
      <c r="M219" s="351"/>
      <c r="N219" s="351"/>
      <c r="O219" s="351"/>
      <c r="P219" s="351"/>
      <c r="Q219" s="351"/>
    </row>
    <row r="220" spans="1:17">
      <c r="A220" s="371" t="s">
        <v>122</v>
      </c>
      <c r="B220" s="596"/>
      <c r="C220" s="596"/>
      <c r="D220" s="597"/>
      <c r="E220" s="666"/>
      <c r="F220" s="597"/>
      <c r="G220" s="737"/>
      <c r="H220" s="645"/>
      <c r="I220" s="597"/>
      <c r="J220" s="597"/>
      <c r="K220" s="424"/>
      <c r="L220" s="350"/>
      <c r="M220" s="350"/>
      <c r="N220" s="350"/>
      <c r="O220" s="350"/>
      <c r="P220" s="350"/>
      <c r="Q220" s="350"/>
    </row>
    <row r="221" spans="1:17">
      <c r="A221" s="371" t="s">
        <v>460</v>
      </c>
      <c r="B221" s="596"/>
      <c r="C221" s="596"/>
      <c r="D221" s="597">
        <v>526000</v>
      </c>
      <c r="E221" s="666">
        <v>125000.01</v>
      </c>
      <c r="F221" s="597">
        <f>'Deferred Rent'!F5</f>
        <v>526000</v>
      </c>
      <c r="G221" s="737">
        <f t="shared" ref="G221" si="221">F221</f>
        <v>526000</v>
      </c>
      <c r="H221" s="645">
        <f t="shared" ref="H221:H226" si="222">E221/G221</f>
        <v>0.23764260456273764</v>
      </c>
      <c r="I221" s="597">
        <f t="shared" ref="I221:I226" si="223">G221-E221</f>
        <v>400999.99</v>
      </c>
      <c r="J221" s="597"/>
      <c r="K221" s="428">
        <f>'Deferred Rent'!F5</f>
        <v>526000</v>
      </c>
      <c r="L221" s="396">
        <f>'Deferred Rent'!F6</f>
        <v>750000</v>
      </c>
      <c r="M221" s="396">
        <f>'Deferred Rent'!F7</f>
        <v>1000000</v>
      </c>
      <c r="N221" s="396">
        <f>'Deferred Rent'!F8</f>
        <v>1250000</v>
      </c>
      <c r="O221" s="396">
        <f>'Deferred Rent'!F9</f>
        <v>1500000</v>
      </c>
      <c r="P221" s="396"/>
      <c r="Q221" s="397">
        <f>F221/F232</f>
        <v>0.14636496739265079</v>
      </c>
    </row>
    <row r="222" spans="1:17">
      <c r="A222" s="395" t="s">
        <v>123</v>
      </c>
      <c r="B222" s="602"/>
      <c r="C222" s="602">
        <v>33174.03</v>
      </c>
      <c r="D222" s="597">
        <v>2000</v>
      </c>
      <c r="E222" s="666">
        <v>6894.98</v>
      </c>
      <c r="F222" s="597">
        <v>2000</v>
      </c>
      <c r="G222" s="737">
        <f>1500+2025+5362+5435+1350</f>
        <v>15672</v>
      </c>
      <c r="H222" s="645">
        <f t="shared" si="222"/>
        <v>0.43995533435426237</v>
      </c>
      <c r="I222" s="597">
        <f t="shared" si="223"/>
        <v>8777.02</v>
      </c>
      <c r="J222" s="597"/>
      <c r="K222" s="425">
        <f>F222</f>
        <v>2000</v>
      </c>
      <c r="L222" s="374">
        <f>F222*1.03</f>
        <v>2060</v>
      </c>
      <c r="M222" s="374">
        <f t="shared" ref="M222:O222" si="224">L222*1.03</f>
        <v>2121.8000000000002</v>
      </c>
      <c r="N222" s="374">
        <f t="shared" si="224"/>
        <v>2185.4540000000002</v>
      </c>
      <c r="O222" s="374">
        <f t="shared" si="224"/>
        <v>2251.0176200000001</v>
      </c>
      <c r="P222" s="374"/>
      <c r="Q222" s="350" t="s">
        <v>915</v>
      </c>
    </row>
    <row r="223" spans="1:17">
      <c r="A223" s="398" t="s">
        <v>357</v>
      </c>
      <c r="B223" s="596"/>
      <c r="C223" s="596"/>
      <c r="D223" s="597">
        <v>60000</v>
      </c>
      <c r="E223" s="666">
        <v>1542</v>
      </c>
      <c r="F223" s="597">
        <v>60000</v>
      </c>
      <c r="G223" s="737">
        <f t="shared" ref="G223:G226" si="225">F223</f>
        <v>60000</v>
      </c>
      <c r="H223" s="645">
        <f t="shared" si="222"/>
        <v>2.5700000000000001E-2</v>
      </c>
      <c r="I223" s="597">
        <f t="shared" si="223"/>
        <v>58458</v>
      </c>
      <c r="J223" s="597"/>
      <c r="K223" s="425">
        <f>F223</f>
        <v>60000</v>
      </c>
      <c r="L223" s="374">
        <f>F223*1.03</f>
        <v>61800</v>
      </c>
      <c r="M223" s="374">
        <f t="shared" ref="M223:O223" si="226">L223*1.03</f>
        <v>63654</v>
      </c>
      <c r="N223" s="374">
        <f t="shared" si="226"/>
        <v>65563.62</v>
      </c>
      <c r="O223" s="374">
        <f t="shared" si="226"/>
        <v>67530.528599999991</v>
      </c>
      <c r="P223" s="374"/>
      <c r="Q223" s="353" t="s">
        <v>689</v>
      </c>
    </row>
    <row r="224" spans="1:17">
      <c r="A224" s="399" t="s">
        <v>556</v>
      </c>
      <c r="B224" s="602"/>
      <c r="C224" s="602"/>
      <c r="D224" s="597">
        <v>5000</v>
      </c>
      <c r="E224" s="666">
        <v>1445</v>
      </c>
      <c r="F224" s="597">
        <v>6000</v>
      </c>
      <c r="G224" s="737">
        <f t="shared" si="225"/>
        <v>6000</v>
      </c>
      <c r="H224" s="645">
        <f t="shared" si="222"/>
        <v>0.24083333333333334</v>
      </c>
      <c r="I224" s="597">
        <f t="shared" si="223"/>
        <v>4555</v>
      </c>
      <c r="J224" s="597"/>
      <c r="K224" s="425">
        <f>F224</f>
        <v>6000</v>
      </c>
      <c r="L224" s="393">
        <f>F224*1.03</f>
        <v>6180</v>
      </c>
      <c r="M224" s="393">
        <f t="shared" ref="M224" si="227">L224*1.03</f>
        <v>6365.4000000000005</v>
      </c>
      <c r="N224" s="393">
        <f t="shared" ref="N224" si="228">M224*1.03</f>
        <v>6556.362000000001</v>
      </c>
      <c r="O224" s="393">
        <f t="shared" ref="O224" si="229">N224*1.03</f>
        <v>6753.0528600000016</v>
      </c>
      <c r="P224" s="393"/>
      <c r="Q224" s="354" t="s">
        <v>691</v>
      </c>
    </row>
    <row r="225" spans="1:22">
      <c r="A225" s="399" t="s">
        <v>501</v>
      </c>
      <c r="B225" s="602"/>
      <c r="C225" s="602"/>
      <c r="D225" s="597">
        <v>86400</v>
      </c>
      <c r="E225" s="666">
        <v>18316.07</v>
      </c>
      <c r="F225" s="597">
        <f>7200*12</f>
        <v>86400</v>
      </c>
      <c r="G225" s="737">
        <f t="shared" si="225"/>
        <v>86400</v>
      </c>
      <c r="H225" s="645">
        <f t="shared" si="222"/>
        <v>0.21199155092592592</v>
      </c>
      <c r="I225" s="597">
        <f t="shared" si="223"/>
        <v>68083.929999999993</v>
      </c>
      <c r="J225" s="597"/>
      <c r="K225" s="425">
        <f>F225</f>
        <v>86400</v>
      </c>
      <c r="L225" s="393"/>
      <c r="M225" s="393"/>
      <c r="N225" s="393"/>
      <c r="O225" s="393"/>
      <c r="P225" s="393"/>
      <c r="Q225" s="354" t="s">
        <v>692</v>
      </c>
    </row>
    <row r="226" spans="1:22">
      <c r="A226" s="398" t="s">
        <v>358</v>
      </c>
      <c r="B226" s="596"/>
      <c r="C226" s="596"/>
      <c r="D226" s="597">
        <v>925938.20863992791</v>
      </c>
      <c r="E226" s="666">
        <v>231484.56</v>
      </c>
      <c r="F226" s="597">
        <f>'Deferred Rent'!G5</f>
        <v>925938.20863992791</v>
      </c>
      <c r="G226" s="737">
        <f t="shared" si="225"/>
        <v>925938.20863992791</v>
      </c>
      <c r="H226" s="645">
        <f t="shared" si="222"/>
        <v>0.25000000846710713</v>
      </c>
      <c r="I226" s="597">
        <f t="shared" si="223"/>
        <v>694453.64863992785</v>
      </c>
      <c r="J226" s="597"/>
      <c r="K226" s="442">
        <f>F226</f>
        <v>925938.20863992791</v>
      </c>
      <c r="L226" s="374">
        <f>'Deferred Rent'!G6</f>
        <v>701938.20863992791</v>
      </c>
      <c r="M226" s="374">
        <f>'Deferred Rent'!G7</f>
        <v>451938.20863992791</v>
      </c>
      <c r="N226" s="374">
        <f>'Deferred Rent'!G8</f>
        <v>201938.20863992791</v>
      </c>
      <c r="O226" s="374">
        <f>'Deferred Rent'!G9</f>
        <v>-48061.791360072093</v>
      </c>
      <c r="P226" s="374"/>
      <c r="Q226" s="350" t="s">
        <v>384</v>
      </c>
    </row>
    <row r="227" spans="1:22">
      <c r="A227" s="377" t="s">
        <v>124</v>
      </c>
      <c r="B227" s="565">
        <f>((((B220)+(B221))+(B222))+(B223))+(B226)</f>
        <v>0</v>
      </c>
      <c r="C227" s="565">
        <f>((((C220)+(C221))+(C222))+(C223))+(C226)</f>
        <v>33174.03</v>
      </c>
      <c r="D227" s="565">
        <f>((((D220)+(D221))+(D222))+(D223))+(D226)+D225+D224</f>
        <v>1605338.2086399279</v>
      </c>
      <c r="E227" s="565">
        <f t="shared" ref="E227:F227" si="230">((((E220)+(E221))+(E222))+(E223))+(E226)+E225+E224</f>
        <v>384682.62</v>
      </c>
      <c r="F227" s="565">
        <f t="shared" si="230"/>
        <v>1606338.2086399279</v>
      </c>
      <c r="G227" s="565">
        <f>SUM(G221:G226)</f>
        <v>1620010.2086399279</v>
      </c>
      <c r="H227" s="646">
        <f>E227/F227</f>
        <v>0.23947797414699318</v>
      </c>
      <c r="I227" s="565">
        <f>((((I220)+(I221))+(I222))+(I223))+(I226)+I225+I224</f>
        <v>1235327.5886399278</v>
      </c>
      <c r="J227" s="568"/>
      <c r="K227" s="426">
        <f>SUM(K221:K226)</f>
        <v>1606338.2086399279</v>
      </c>
      <c r="L227" s="378">
        <f>((((L220)+(L221))+(L222))+(L223))+(L226)</f>
        <v>1515798.2086399279</v>
      </c>
      <c r="M227" s="378">
        <f>((((M220)+(M221))+(M222))+(M223))+(M226)</f>
        <v>1517714.008639928</v>
      </c>
      <c r="N227" s="378">
        <f>((((N220)+(N221))+(N222))+(N223))+(N226)</f>
        <v>1519687.2826399279</v>
      </c>
      <c r="O227" s="378">
        <f>((((O220)+(O221))+(O222))+(O223))+(O226)</f>
        <v>1521719.754859928</v>
      </c>
      <c r="P227" s="378"/>
      <c r="Q227" s="351"/>
    </row>
    <row r="228" spans="1:22">
      <c r="A228" s="371" t="s">
        <v>125</v>
      </c>
      <c r="B228" s="596"/>
      <c r="C228" s="596"/>
      <c r="D228" s="597"/>
      <c r="E228" s="666"/>
      <c r="F228" s="597"/>
      <c r="G228" s="737"/>
      <c r="H228" s="645"/>
      <c r="I228" s="597"/>
      <c r="J228" s="597"/>
      <c r="K228" s="424"/>
      <c r="L228" s="350"/>
      <c r="M228" s="350"/>
      <c r="N228" s="350"/>
      <c r="O228" s="350"/>
      <c r="P228" s="350"/>
      <c r="Q228" s="350"/>
    </row>
    <row r="229" spans="1:22">
      <c r="A229" s="371" t="s">
        <v>126</v>
      </c>
      <c r="B229" s="601"/>
      <c r="C229" s="601"/>
      <c r="D229" s="597">
        <v>51768.07142857142</v>
      </c>
      <c r="E229" s="666"/>
      <c r="F229" s="597">
        <f>SUM(U236:V253)</f>
        <v>85719.547619047618</v>
      </c>
      <c r="G229" s="737">
        <f t="shared" ref="G229:G230" si="231">F229</f>
        <v>85719.547619047618</v>
      </c>
      <c r="H229" s="645">
        <f>E229/G229</f>
        <v>0</v>
      </c>
      <c r="I229" s="597">
        <f>G229-E229</f>
        <v>85719.547619047618</v>
      </c>
      <c r="J229" s="597"/>
      <c r="K229" s="439">
        <f>F229</f>
        <v>85719.547619047618</v>
      </c>
      <c r="L229" s="353"/>
      <c r="M229" s="353"/>
      <c r="N229" s="353"/>
      <c r="O229" s="353"/>
      <c r="P229" s="353"/>
      <c r="Q229" s="353"/>
    </row>
    <row r="230" spans="1:22">
      <c r="A230" s="371" t="s">
        <v>127</v>
      </c>
      <c r="B230" s="596"/>
      <c r="C230" s="596"/>
      <c r="D230" s="597"/>
      <c r="E230" s="666"/>
      <c r="F230" s="597"/>
      <c r="G230" s="737">
        <f t="shared" si="231"/>
        <v>0</v>
      </c>
      <c r="H230" s="645"/>
      <c r="I230" s="597"/>
      <c r="J230" s="597"/>
      <c r="K230" s="424"/>
      <c r="L230" s="350"/>
      <c r="M230" s="350"/>
      <c r="N230" s="350"/>
      <c r="O230" s="350"/>
      <c r="P230" s="350"/>
      <c r="Q230" s="350"/>
    </row>
    <row r="231" spans="1:22">
      <c r="A231" s="377" t="s">
        <v>128</v>
      </c>
      <c r="B231" s="565">
        <f t="shared" ref="B231:G231" si="232">((B228)+(B229))+(B230)</f>
        <v>0</v>
      </c>
      <c r="C231" s="565">
        <f t="shared" si="232"/>
        <v>0</v>
      </c>
      <c r="D231" s="565">
        <f t="shared" si="232"/>
        <v>51768.07142857142</v>
      </c>
      <c r="E231" s="565">
        <f t="shared" si="232"/>
        <v>0</v>
      </c>
      <c r="F231" s="568">
        <f t="shared" si="232"/>
        <v>85719.547619047618</v>
      </c>
      <c r="G231" s="568">
        <f t="shared" si="232"/>
        <v>85719.547619047618</v>
      </c>
      <c r="H231" s="646">
        <f>E231/F231</f>
        <v>0</v>
      </c>
      <c r="I231" s="568">
        <f>((I228)+(I229))+(I230)</f>
        <v>85719.547619047618</v>
      </c>
      <c r="J231" s="568"/>
      <c r="K231" s="426">
        <f t="shared" ref="K231" si="233">((K228)+(K229))+(K230)</f>
        <v>85719.547619047618</v>
      </c>
      <c r="L231" s="378">
        <f t="shared" ref="L231:O231" si="234">((L228)+(L229))+(L230)</f>
        <v>0</v>
      </c>
      <c r="M231" s="378">
        <f t="shared" si="234"/>
        <v>0</v>
      </c>
      <c r="N231" s="378">
        <f t="shared" si="234"/>
        <v>0</v>
      </c>
      <c r="O231" s="378">
        <f t="shared" si="234"/>
        <v>0</v>
      </c>
      <c r="P231" s="378"/>
      <c r="Q231" s="351"/>
    </row>
    <row r="232" spans="1:22">
      <c r="A232" s="382" t="s">
        <v>129</v>
      </c>
      <c r="B232" s="590">
        <f t="shared" ref="B232:O232" si="235">(((((((((((((((((((((((B111)+(B127))+(B131))+(B140))+(B143))+(B149))+(B154))+(B161))+(B165))+(B172))+(B175))+(B179))+(B183))+(B187))+(B192))+(B195))+(B198))+(B201))+(B205))+(B208))+(B215))+(B219))+(B227))+(B231)</f>
        <v>338809</v>
      </c>
      <c r="C232" s="590">
        <f t="shared" ref="C232:E232" si="236">(((((((((((((((((((((((C111)+(C127))+(C131))+(C140))+(C143))+(C149))+(C154))+(C161))+(C165))+(C172))+(C175))+(C179))+(C183))+(C187))+(C192))+(C195))+(C198))+(C201))+(C205))+(C208))+(C215))+(C219))+(C227))+(C231)</f>
        <v>347413.75999999989</v>
      </c>
      <c r="D232" s="590">
        <f t="shared" ref="D232" si="237">(((((((((((((((((((((((D111)+(D127))+(D131))+(D140))+(D143))+(D149))+(D154))+(D161))+(D165))+(D172))+(D175))+(D179))+(D183))+(D187))+(D192))+(D195))+(D198))+(D201))+(D205))+(D208))+(D215))+(D219))+(D227))+(D231)</f>
        <v>3811340.4278377299</v>
      </c>
      <c r="E232" s="590">
        <f t="shared" si="236"/>
        <v>701547.34999999986</v>
      </c>
      <c r="F232" s="591">
        <f t="shared" si="235"/>
        <v>3593756.1383039756</v>
      </c>
      <c r="G232" s="591">
        <f t="shared" ref="G232" si="238">(((((((((((((((((((((((G111)+(G127))+(G131))+(G140))+(G143))+(G149))+(G154))+(G161))+(G165))+(G172))+(G175))+(G179))+(G183))+(G187))+(G192))+(G195))+(G198))+(G201))+(G205))+(G208))+(G215))+(G219))+(G227))+(G231)</f>
        <v>3548928.4783039754</v>
      </c>
      <c r="H232" s="647">
        <f>E232/F232</f>
        <v>0.19521284221891738</v>
      </c>
      <c r="I232" s="591">
        <f>G232-E232</f>
        <v>2847381.1283039758</v>
      </c>
      <c r="J232" s="591"/>
      <c r="K232" s="419">
        <f t="shared" si="235"/>
        <v>3584292.2025592909</v>
      </c>
      <c r="L232" s="383">
        <f t="shared" si="235"/>
        <v>3183830.5120222778</v>
      </c>
      <c r="M232" s="383">
        <f t="shared" si="235"/>
        <v>3325949.2291237488</v>
      </c>
      <c r="N232" s="383">
        <f t="shared" si="235"/>
        <v>3429745.5837382637</v>
      </c>
      <c r="O232" s="383">
        <f t="shared" si="235"/>
        <v>3540134.3049912127</v>
      </c>
      <c r="P232" s="383"/>
      <c r="Q232" s="384"/>
    </row>
    <row r="233" spans="1:22">
      <c r="A233" s="400" t="s">
        <v>130</v>
      </c>
      <c r="B233" s="779">
        <f t="shared" ref="B233:O233" si="239">(B54)-(B232)</f>
        <v>423245</v>
      </c>
      <c r="C233" s="779">
        <f t="shared" ref="C233:E233" si="240">(C54)-(C232)</f>
        <v>413161.24000000011</v>
      </c>
      <c r="D233" s="779">
        <f t="shared" ref="D233" si="241">(D54)-(D232)</f>
        <v>-672722.62783772964</v>
      </c>
      <c r="E233" s="779">
        <f t="shared" si="240"/>
        <v>-96421.949999999837</v>
      </c>
      <c r="F233" s="780">
        <f t="shared" si="239"/>
        <v>-567526.3383039753</v>
      </c>
      <c r="G233" s="780">
        <f t="shared" ref="G233" si="242">(G54)-(G232)</f>
        <v>-522698.67830397515</v>
      </c>
      <c r="H233" s="651">
        <f>E233/F233</f>
        <v>0.16989863463985147</v>
      </c>
      <c r="I233" s="780">
        <f t="shared" ref="I233" si="243">(I54)-(I232)</f>
        <v>-426276.72830397543</v>
      </c>
      <c r="J233" s="595"/>
      <c r="K233" s="429">
        <f t="shared" ref="K233" si="244">(K54)-(K232)</f>
        <v>-619590.60255929083</v>
      </c>
      <c r="L233" s="401">
        <f t="shared" si="239"/>
        <v>645168.42797772214</v>
      </c>
      <c r="M233" s="401">
        <f t="shared" si="239"/>
        <v>1764430.1220762515</v>
      </c>
      <c r="N233" s="401">
        <f t="shared" si="239"/>
        <v>2980193.8871517358</v>
      </c>
      <c r="O233" s="401">
        <f t="shared" si="239"/>
        <v>4208714.5697274664</v>
      </c>
      <c r="P233" s="401"/>
      <c r="Q233" s="402"/>
    </row>
    <row r="234" spans="1:22">
      <c r="A234" s="350"/>
      <c r="B234" s="605"/>
      <c r="C234" s="605"/>
      <c r="D234" s="606"/>
      <c r="E234" s="670"/>
      <c r="F234" s="606"/>
      <c r="G234" s="741"/>
      <c r="H234" s="652"/>
      <c r="I234" s="606"/>
      <c r="J234" s="606"/>
      <c r="K234" s="424"/>
      <c r="L234" s="350"/>
      <c r="M234" s="350"/>
      <c r="N234" s="350"/>
      <c r="O234" s="350"/>
      <c r="P234" s="350"/>
      <c r="Q234" s="350"/>
    </row>
    <row r="235" spans="1:22">
      <c r="A235" s="371" t="s">
        <v>383</v>
      </c>
      <c r="B235" s="605"/>
      <c r="C235" s="605"/>
      <c r="D235" s="606"/>
      <c r="E235" s="670"/>
      <c r="F235" s="606"/>
      <c r="G235" s="741"/>
      <c r="H235" s="652"/>
      <c r="I235" s="606"/>
      <c r="J235" s="606"/>
      <c r="K235" s="424"/>
      <c r="L235" s="350"/>
      <c r="M235" s="350"/>
      <c r="N235" s="350"/>
      <c r="O235" s="350"/>
      <c r="P235" s="350"/>
      <c r="Q235" s="350"/>
      <c r="S235" s="403" t="s">
        <v>473</v>
      </c>
      <c r="U235" s="403" t="s">
        <v>476</v>
      </c>
      <c r="V235" s="403" t="s">
        <v>137</v>
      </c>
    </row>
    <row r="236" spans="1:22">
      <c r="A236" s="371" t="s">
        <v>801</v>
      </c>
      <c r="B236" s="598">
        <v>25000</v>
      </c>
      <c r="C236" s="598">
        <f>CSP!C19</f>
        <v>0</v>
      </c>
      <c r="D236" s="574">
        <v>4000</v>
      </c>
      <c r="E236" s="667">
        <f>CSP!D19</f>
        <v>0</v>
      </c>
      <c r="F236" s="574"/>
      <c r="G236" s="738">
        <f>CSP!F19</f>
        <v>0</v>
      </c>
      <c r="H236" s="644"/>
      <c r="I236" s="574">
        <f t="shared" ref="I236:I253" si="245">G236-E236</f>
        <v>0</v>
      </c>
      <c r="J236" s="574"/>
      <c r="K236" s="444">
        <f>F236</f>
        <v>0</v>
      </c>
      <c r="L236" s="354"/>
      <c r="M236" s="354"/>
      <c r="N236" s="354"/>
      <c r="O236" s="354"/>
      <c r="P236" s="354"/>
      <c r="Q236" s="354" t="str">
        <f>CSP!K19</f>
        <v>Photocopiers, scanners, shredders, microwaves</v>
      </c>
      <c r="S236" s="349" t="s">
        <v>474</v>
      </c>
      <c r="T236" s="349">
        <v>7</v>
      </c>
      <c r="U236" s="224">
        <f t="shared" ref="U236:U241" si="246">B236/$T236</f>
        <v>3571.4285714285716</v>
      </c>
      <c r="V236" s="224">
        <f t="shared" ref="V236:V241" si="247">F236/$T236</f>
        <v>0</v>
      </c>
    </row>
    <row r="237" spans="1:22">
      <c r="A237" s="371" t="s">
        <v>802</v>
      </c>
      <c r="B237" s="598">
        <v>19442.5</v>
      </c>
      <c r="C237" s="598">
        <f>CSP!C20</f>
        <v>10554.62</v>
      </c>
      <c r="D237" s="574">
        <v>8000</v>
      </c>
      <c r="E237" s="667">
        <f>CSP!D20</f>
        <v>3083.5</v>
      </c>
      <c r="F237" s="574">
        <f>CSP!E20</f>
        <v>19119</v>
      </c>
      <c r="G237" s="738">
        <f>CSP!F20</f>
        <v>3083.5</v>
      </c>
      <c r="H237" s="644">
        <f>E237/G237</f>
        <v>1</v>
      </c>
      <c r="I237" s="574">
        <f t="shared" si="245"/>
        <v>0</v>
      </c>
      <c r="J237" s="574"/>
      <c r="K237" s="444">
        <f t="shared" ref="K237:K253" si="248">F237</f>
        <v>19119</v>
      </c>
      <c r="L237" s="354"/>
      <c r="M237" s="354"/>
      <c r="N237" s="354"/>
      <c r="O237" s="354"/>
      <c r="P237" s="354"/>
      <c r="Q237" s="354" t="str">
        <f>CSP!K20</f>
        <v>Chairs, desks, tables</v>
      </c>
      <c r="S237" s="349" t="s">
        <v>474</v>
      </c>
      <c r="T237" s="349">
        <v>7</v>
      </c>
      <c r="U237" s="224">
        <f t="shared" si="246"/>
        <v>2777.5</v>
      </c>
      <c r="V237" s="224">
        <f t="shared" si="247"/>
        <v>2731.2857142857142</v>
      </c>
    </row>
    <row r="238" spans="1:22">
      <c r="A238" s="371" t="s">
        <v>803</v>
      </c>
      <c r="B238" s="598">
        <v>4627.5</v>
      </c>
      <c r="C238" s="598">
        <f>CSP!C23</f>
        <v>0</v>
      </c>
      <c r="D238" s="574">
        <v>11000</v>
      </c>
      <c r="E238" s="667">
        <f>CSP!D23</f>
        <v>5545</v>
      </c>
      <c r="F238" s="574"/>
      <c r="G238" s="738">
        <f>CSP!F23</f>
        <v>5545</v>
      </c>
      <c r="H238" s="644">
        <f t="shared" ref="H238:H253" si="249">E238/G238</f>
        <v>1</v>
      </c>
      <c r="I238" s="574">
        <f t="shared" si="245"/>
        <v>0</v>
      </c>
      <c r="J238" s="574"/>
      <c r="K238" s="444">
        <f t="shared" si="248"/>
        <v>0</v>
      </c>
      <c r="L238" s="354"/>
      <c r="M238" s="354"/>
      <c r="N238" s="354"/>
      <c r="O238" s="354"/>
      <c r="P238" s="354"/>
      <c r="Q238" s="354" t="str">
        <f>CSP!K23</f>
        <v>Non-IT Instructional Equipment</v>
      </c>
      <c r="R238" s="355"/>
      <c r="S238" s="349" t="s">
        <v>483</v>
      </c>
      <c r="T238" s="349">
        <v>3</v>
      </c>
      <c r="U238" s="224">
        <f t="shared" si="246"/>
        <v>1542.5</v>
      </c>
      <c r="V238" s="224">
        <f t="shared" si="247"/>
        <v>0</v>
      </c>
    </row>
    <row r="239" spans="1:22">
      <c r="A239" s="371" t="s">
        <v>804</v>
      </c>
      <c r="B239" s="598">
        <v>75000</v>
      </c>
      <c r="C239" s="598">
        <f>CSP!C24</f>
        <v>11010.5</v>
      </c>
      <c r="D239" s="574">
        <v>35000</v>
      </c>
      <c r="E239" s="667">
        <f>CSP!D24</f>
        <v>14875.97</v>
      </c>
      <c r="F239" s="574">
        <f>CSP!E24</f>
        <v>57142</v>
      </c>
      <c r="G239" s="738">
        <f>CSP!F24</f>
        <v>134875.97</v>
      </c>
      <c r="H239" s="644">
        <f t="shared" si="249"/>
        <v>0.11029370168755782</v>
      </c>
      <c r="I239" s="574">
        <f t="shared" si="245"/>
        <v>120000</v>
      </c>
      <c r="J239" s="574"/>
      <c r="K239" s="444">
        <f t="shared" si="248"/>
        <v>57142</v>
      </c>
      <c r="L239" s="354"/>
      <c r="M239" s="354"/>
      <c r="N239" s="354"/>
      <c r="O239" s="354"/>
      <c r="P239" s="354"/>
      <c r="Q239" s="354" t="str">
        <f>CSP!K24</f>
        <v>Desks, chairs, whiteboards, 4 classrooms @ $20K on third floor and 2 more on 2nd</v>
      </c>
      <c r="S239" s="349" t="s">
        <v>483</v>
      </c>
      <c r="T239" s="349">
        <v>3</v>
      </c>
      <c r="U239" s="224">
        <f t="shared" si="246"/>
        <v>25000</v>
      </c>
      <c r="V239" s="224">
        <f t="shared" si="247"/>
        <v>19047.333333333332</v>
      </c>
    </row>
    <row r="240" spans="1:22">
      <c r="A240" s="371" t="s">
        <v>805</v>
      </c>
      <c r="B240" s="598">
        <v>6322.5</v>
      </c>
      <c r="C240" s="598">
        <f>CSP!C27</f>
        <v>6110</v>
      </c>
      <c r="D240" s="574">
        <v>8000</v>
      </c>
      <c r="E240" s="667">
        <f>CSP!D27</f>
        <v>6322.5</v>
      </c>
      <c r="F240" s="574">
        <f>CSP!E27</f>
        <v>34950</v>
      </c>
      <c r="G240" s="738">
        <f>CSP!F27</f>
        <v>9522.5</v>
      </c>
      <c r="H240" s="644">
        <f t="shared" si="249"/>
        <v>0.66395379364662643</v>
      </c>
      <c r="I240" s="574">
        <f t="shared" si="245"/>
        <v>3200</v>
      </c>
      <c r="J240" s="574"/>
      <c r="K240" s="444">
        <f t="shared" si="248"/>
        <v>34950</v>
      </c>
      <c r="L240" s="354"/>
      <c r="M240" s="354"/>
      <c r="N240" s="354"/>
      <c r="O240" s="354"/>
      <c r="P240" s="354"/>
      <c r="Q240" s="354" t="str">
        <f>CSP!K27</f>
        <v>Tablets, Laptops; 20 chromebooks @ $160 (2 classrooms)</v>
      </c>
      <c r="S240" s="349" t="s">
        <v>483</v>
      </c>
      <c r="T240" s="349">
        <v>3</v>
      </c>
      <c r="U240" s="224">
        <f t="shared" si="246"/>
        <v>2107.5</v>
      </c>
      <c r="V240" s="224">
        <f t="shared" si="247"/>
        <v>11650</v>
      </c>
    </row>
    <row r="241" spans="1:22">
      <c r="A241" s="371" t="s">
        <v>806</v>
      </c>
      <c r="B241" s="598">
        <v>18586</v>
      </c>
      <c r="C241" s="598">
        <f>CSP!C28</f>
        <v>0</v>
      </c>
      <c r="D241" s="574">
        <v>8040</v>
      </c>
      <c r="E241" s="667">
        <f>CSP!D28</f>
        <v>18219.150000000001</v>
      </c>
      <c r="F241" s="574">
        <f>CSP!E28</f>
        <v>21290</v>
      </c>
      <c r="G241" s="738">
        <f>CSP!F28</f>
        <v>26219.15</v>
      </c>
      <c r="H241" s="644">
        <f t="shared" si="249"/>
        <v>0.69487950600992021</v>
      </c>
      <c r="I241" s="574">
        <f t="shared" si="245"/>
        <v>8000</v>
      </c>
      <c r="J241" s="574"/>
      <c r="K241" s="444">
        <f t="shared" si="248"/>
        <v>21290</v>
      </c>
      <c r="L241" s="354"/>
      <c r="M241" s="354"/>
      <c r="N241" s="354"/>
      <c r="O241" s="354"/>
      <c r="P241" s="354"/>
      <c r="Q241" s="354" t="str">
        <f>CSP!K28</f>
        <v>Tablets, Laptops, Desktops, laptop carts, computers for 6 new staff at $1.333 per teacher</v>
      </c>
      <c r="S241" s="349" t="s">
        <v>483</v>
      </c>
      <c r="T241" s="349">
        <v>3</v>
      </c>
      <c r="U241" s="224">
        <f t="shared" si="246"/>
        <v>6195.333333333333</v>
      </c>
      <c r="V241" s="224">
        <f t="shared" si="247"/>
        <v>7096.666666666667</v>
      </c>
    </row>
    <row r="242" spans="1:22">
      <c r="A242" s="371" t="s">
        <v>811</v>
      </c>
      <c r="B242" s="598"/>
      <c r="C242" s="598">
        <f>CSP!C29</f>
        <v>282.5</v>
      </c>
      <c r="D242" s="574"/>
      <c r="E242" s="667">
        <f>CSP!D29</f>
        <v>1987.5</v>
      </c>
      <c r="F242" s="574">
        <f>CSP!E29</f>
        <v>2000</v>
      </c>
      <c r="G242" s="738">
        <f>CSP!F29</f>
        <v>1987.5</v>
      </c>
      <c r="H242" s="644">
        <f t="shared" si="249"/>
        <v>1</v>
      </c>
      <c r="I242" s="574">
        <f t="shared" si="245"/>
        <v>0</v>
      </c>
      <c r="J242" s="574"/>
      <c r="K242" s="444"/>
      <c r="L242" s="354"/>
      <c r="M242" s="354"/>
      <c r="N242" s="354"/>
      <c r="O242" s="354"/>
      <c r="P242" s="354"/>
      <c r="Q242" s="354" t="str">
        <f>CSP!K29</f>
        <v>Networked printers, standalone printers for general use</v>
      </c>
      <c r="U242" s="224"/>
      <c r="V242" s="224"/>
    </row>
    <row r="243" spans="1:22">
      <c r="A243" s="371" t="s">
        <v>812</v>
      </c>
      <c r="B243" s="598"/>
      <c r="C243" s="598">
        <f>CSP!C30</f>
        <v>3705</v>
      </c>
      <c r="D243" s="574"/>
      <c r="E243" s="667">
        <f>CSP!D30</f>
        <v>2000</v>
      </c>
      <c r="F243" s="574">
        <f>CSP!E30</f>
        <v>10332</v>
      </c>
      <c r="G243" s="738">
        <f>CSP!F30</f>
        <v>26000</v>
      </c>
      <c r="H243" s="644">
        <f t="shared" si="249"/>
        <v>7.6923076923076927E-2</v>
      </c>
      <c r="I243" s="574">
        <f t="shared" si="245"/>
        <v>24000</v>
      </c>
      <c r="J243" s="574"/>
      <c r="K243" s="444"/>
      <c r="L243" s="354"/>
      <c r="M243" s="354"/>
      <c r="N243" s="354"/>
      <c r="O243" s="354"/>
      <c r="P243" s="354"/>
      <c r="Q243" s="354" t="str">
        <f>CSP!K30</f>
        <v>Smartboards, projectors, screens, 8 classrooms at $3K per classroom</v>
      </c>
      <c r="U243" s="224"/>
      <c r="V243" s="224"/>
    </row>
    <row r="244" spans="1:22">
      <c r="A244" s="371" t="s">
        <v>813</v>
      </c>
      <c r="B244" s="598"/>
      <c r="C244" s="598">
        <f>CSP!C31</f>
        <v>0</v>
      </c>
      <c r="D244" s="574"/>
      <c r="E244" s="667">
        <f>CSP!D31</f>
        <v>9245</v>
      </c>
      <c r="F244" s="574">
        <f>CSP!E31</f>
        <v>9245</v>
      </c>
      <c r="G244" s="738">
        <f>CSP!F31</f>
        <v>17245</v>
      </c>
      <c r="H244" s="644">
        <f t="shared" si="249"/>
        <v>0.53609741954189616</v>
      </c>
      <c r="I244" s="574">
        <f t="shared" si="245"/>
        <v>8000</v>
      </c>
      <c r="J244" s="574"/>
      <c r="K244" s="444"/>
      <c r="L244" s="354"/>
      <c r="M244" s="354"/>
      <c r="N244" s="354"/>
      <c r="O244" s="354"/>
      <c r="P244" s="354"/>
      <c r="Q244" s="354" t="str">
        <f>CSP!K31</f>
        <v>Installation of a school-wide Public Announcement System</v>
      </c>
      <c r="U244" s="224"/>
      <c r="V244" s="224"/>
    </row>
    <row r="245" spans="1:22">
      <c r="A245" s="371" t="s">
        <v>814</v>
      </c>
      <c r="B245" s="598"/>
      <c r="C245" s="598">
        <f>CSP!C32</f>
        <v>0</v>
      </c>
      <c r="D245" s="574"/>
      <c r="E245" s="667">
        <f>CSP!D32</f>
        <v>0</v>
      </c>
      <c r="F245" s="574"/>
      <c r="G245" s="738">
        <f>CSP!F32</f>
        <v>0</v>
      </c>
      <c r="H245" s="644"/>
      <c r="I245" s="574">
        <f t="shared" si="245"/>
        <v>0</v>
      </c>
      <c r="J245" s="574"/>
      <c r="K245" s="444"/>
      <c r="L245" s="354"/>
      <c r="M245" s="354"/>
      <c r="N245" s="354"/>
      <c r="O245" s="354"/>
      <c r="P245" s="354"/>
      <c r="Q245" s="354" t="str">
        <f>CSP!K32</f>
        <v>Major software purchases for Instructional purposes</v>
      </c>
      <c r="U245" s="224"/>
      <c r="V245" s="224"/>
    </row>
    <row r="246" spans="1:22">
      <c r="A246" s="371" t="s">
        <v>815</v>
      </c>
      <c r="B246" s="598"/>
      <c r="C246" s="598">
        <f>CSP!C33</f>
        <v>0</v>
      </c>
      <c r="D246" s="574"/>
      <c r="E246" s="667">
        <f>CSP!D33</f>
        <v>0</v>
      </c>
      <c r="F246" s="574"/>
      <c r="G246" s="738">
        <f>CSP!F33</f>
        <v>0</v>
      </c>
      <c r="H246" s="644"/>
      <c r="I246" s="574">
        <f t="shared" si="245"/>
        <v>0</v>
      </c>
      <c r="J246" s="574"/>
      <c r="K246" s="444"/>
      <c r="L246" s="354"/>
      <c r="M246" s="354"/>
      <c r="N246" s="354"/>
      <c r="O246" s="354"/>
      <c r="P246" s="354"/>
      <c r="Q246" s="354" t="str">
        <f>CSP!K33</f>
        <v>Major software purchases for office use</v>
      </c>
      <c r="U246" s="224"/>
      <c r="V246" s="224"/>
    </row>
    <row r="247" spans="1:22">
      <c r="A247" s="371" t="s">
        <v>816</v>
      </c>
      <c r="B247" s="598"/>
      <c r="C247" s="598">
        <f>CSP!C34</f>
        <v>10985</v>
      </c>
      <c r="D247" s="574"/>
      <c r="E247" s="667">
        <f>CSP!D34</f>
        <v>9310</v>
      </c>
      <c r="F247" s="574">
        <f>CSP!E34</f>
        <v>10715</v>
      </c>
      <c r="G247" s="738">
        <f>CSP!F34</f>
        <v>20025</v>
      </c>
      <c r="H247" s="644">
        <f t="shared" si="249"/>
        <v>0.46491885143570538</v>
      </c>
      <c r="I247" s="574">
        <f t="shared" si="245"/>
        <v>10715</v>
      </c>
      <c r="J247" s="574"/>
      <c r="K247" s="444"/>
      <c r="L247" s="354"/>
      <c r="M247" s="354"/>
      <c r="N247" s="354"/>
      <c r="O247" s="354"/>
      <c r="P247" s="354"/>
      <c r="Q247" s="354" t="str">
        <f>CSP!K34</f>
        <v>Network infrastructure contruction and major improvements (wiring, servers, wireless points)</v>
      </c>
      <c r="U247" s="224"/>
      <c r="V247" s="224"/>
    </row>
    <row r="248" spans="1:22">
      <c r="A248" s="371" t="s">
        <v>817</v>
      </c>
      <c r="B248" s="598"/>
      <c r="C248" s="598">
        <f>CSP!C35</f>
        <v>0</v>
      </c>
      <c r="D248" s="574"/>
      <c r="E248" s="667">
        <f>CSP!D35</f>
        <v>14660.5</v>
      </c>
      <c r="F248" s="574">
        <f>CSP!E35</f>
        <v>13738</v>
      </c>
      <c r="G248" s="738">
        <f>CSP!F35</f>
        <v>13738</v>
      </c>
      <c r="H248" s="644">
        <f t="shared" si="249"/>
        <v>1.067149512301645</v>
      </c>
      <c r="I248" s="574">
        <f t="shared" si="245"/>
        <v>-922.5</v>
      </c>
      <c r="J248" s="574"/>
      <c r="K248" s="444"/>
      <c r="L248" s="354"/>
      <c r="M248" s="354"/>
      <c r="N248" s="354"/>
      <c r="O248" s="354"/>
      <c r="P248" s="354"/>
      <c r="Q248" s="354" t="str">
        <f>CSP!K35</f>
        <v>Security Cameras</v>
      </c>
      <c r="U248" s="224"/>
      <c r="V248" s="224"/>
    </row>
    <row r="249" spans="1:22">
      <c r="A249" s="371" t="s">
        <v>823</v>
      </c>
      <c r="B249" s="598"/>
      <c r="C249" s="598">
        <f>CSP!C36</f>
        <v>0</v>
      </c>
      <c r="D249" s="574"/>
      <c r="E249" s="667">
        <f>CSP!D36</f>
        <v>0</v>
      </c>
      <c r="F249" s="574">
        <f>CSP!E36</f>
        <v>9676</v>
      </c>
      <c r="G249" s="738">
        <f>CSP!F36</f>
        <v>0</v>
      </c>
      <c r="H249" s="644"/>
      <c r="I249" s="574">
        <f t="shared" si="245"/>
        <v>0</v>
      </c>
      <c r="J249" s="574"/>
      <c r="K249" s="444"/>
      <c r="L249" s="354"/>
      <c r="M249" s="354"/>
      <c r="N249" s="354"/>
      <c r="O249" s="354"/>
      <c r="P249" s="354"/>
      <c r="Q249" s="354">
        <f>CSP!K36</f>
        <v>0</v>
      </c>
      <c r="U249" s="224"/>
      <c r="V249" s="224"/>
    </row>
    <row r="250" spans="1:22">
      <c r="A250" s="371" t="s">
        <v>825</v>
      </c>
      <c r="B250" s="598"/>
      <c r="C250" s="598">
        <f>CSP!C37</f>
        <v>0</v>
      </c>
      <c r="D250" s="574"/>
      <c r="E250" s="667">
        <f>CSP!D37</f>
        <v>0</v>
      </c>
      <c r="F250" s="574">
        <f>CSP!E37</f>
        <v>11000</v>
      </c>
      <c r="G250" s="738">
        <f>CSP!F37</f>
        <v>0</v>
      </c>
      <c r="H250" s="644"/>
      <c r="I250" s="574">
        <f t="shared" si="245"/>
        <v>0</v>
      </c>
      <c r="J250" s="574"/>
      <c r="K250" s="444"/>
      <c r="L250" s="354"/>
      <c r="M250" s="354"/>
      <c r="N250" s="354"/>
      <c r="O250" s="354"/>
      <c r="P250" s="354"/>
      <c r="Q250" s="354" t="str">
        <f>CSP!K37</f>
        <v>School Mint, Power School</v>
      </c>
      <c r="U250" s="224"/>
      <c r="V250" s="224"/>
    </row>
    <row r="251" spans="1:22">
      <c r="A251" s="371" t="s">
        <v>827</v>
      </c>
      <c r="B251" s="598"/>
      <c r="C251" s="598">
        <f>CSP!C38</f>
        <v>0</v>
      </c>
      <c r="D251" s="574"/>
      <c r="E251" s="667">
        <f>CSP!D38</f>
        <v>3705</v>
      </c>
      <c r="F251" s="574">
        <f>CSP!E38</f>
        <v>24000</v>
      </c>
      <c r="G251" s="738">
        <f>CSP!F38</f>
        <v>4000</v>
      </c>
      <c r="H251" s="644"/>
      <c r="I251" s="574">
        <f t="shared" si="245"/>
        <v>295</v>
      </c>
      <c r="J251" s="574"/>
      <c r="K251" s="444"/>
      <c r="L251" s="354"/>
      <c r="M251" s="354"/>
      <c r="N251" s="354"/>
      <c r="O251" s="354"/>
      <c r="P251" s="354"/>
      <c r="Q251" s="354" t="str">
        <f>CSP!K38</f>
        <v>2 classrooms at $2K each</v>
      </c>
      <c r="U251" s="224"/>
      <c r="V251" s="224"/>
    </row>
    <row r="252" spans="1:22">
      <c r="A252" s="371" t="s">
        <v>818</v>
      </c>
      <c r="B252" s="598"/>
      <c r="C252" s="598">
        <f>CSP!C41</f>
        <v>0</v>
      </c>
      <c r="D252" s="574"/>
      <c r="E252" s="667">
        <f>CSP!D41</f>
        <v>0</v>
      </c>
      <c r="F252" s="574"/>
      <c r="G252" s="738">
        <f>CSP!F41</f>
        <v>108000</v>
      </c>
      <c r="H252" s="644">
        <f t="shared" si="249"/>
        <v>0</v>
      </c>
      <c r="I252" s="574">
        <f t="shared" si="245"/>
        <v>108000</v>
      </c>
      <c r="J252" s="574"/>
      <c r="K252" s="444"/>
      <c r="L252" s="354"/>
      <c r="M252" s="354"/>
      <c r="N252" s="354"/>
      <c r="O252" s="354"/>
      <c r="P252" s="354"/>
      <c r="Q252" s="354" t="str">
        <f>CSP!K41</f>
        <v>New construction - 3rd floor buildout with lighting</v>
      </c>
      <c r="U252" s="224"/>
      <c r="V252" s="224"/>
    </row>
    <row r="253" spans="1:22">
      <c r="A253" s="371" t="s">
        <v>807</v>
      </c>
      <c r="B253" s="598">
        <v>60000</v>
      </c>
      <c r="C253" s="598">
        <f>CSP!C42</f>
        <v>0</v>
      </c>
      <c r="D253" s="574">
        <v>10000</v>
      </c>
      <c r="E253" s="667">
        <f>CSP!D42</f>
        <v>0</v>
      </c>
      <c r="F253" s="574"/>
      <c r="G253" s="738">
        <f>CSP!F42</f>
        <v>25000</v>
      </c>
      <c r="H253" s="644">
        <f t="shared" si="249"/>
        <v>0</v>
      </c>
      <c r="I253" s="574">
        <f t="shared" si="245"/>
        <v>25000</v>
      </c>
      <c r="J253" s="574"/>
      <c r="K253" s="444">
        <f t="shared" si="248"/>
        <v>0</v>
      </c>
      <c r="L253" s="354"/>
      <c r="M253" s="354"/>
      <c r="N253" s="354"/>
      <c r="O253" s="354"/>
      <c r="P253" s="354"/>
      <c r="Q253" s="354" t="str">
        <f>CSP!K42</f>
        <v>Major repairs (scope and cost); bathroom and windows repairs</v>
      </c>
      <c r="S253" s="349" t="s">
        <v>475</v>
      </c>
      <c r="T253" s="349">
        <v>15</v>
      </c>
      <c r="U253" s="224">
        <f>B253/$T253</f>
        <v>4000</v>
      </c>
      <c r="V253" s="224">
        <f>F253/$T253</f>
        <v>0</v>
      </c>
    </row>
    <row r="254" spans="1:22">
      <c r="A254" s="377" t="s">
        <v>466</v>
      </c>
      <c r="B254" s="565">
        <f t="shared" ref="B254:O254" si="250">SUM(B236:B253)</f>
        <v>208978.5</v>
      </c>
      <c r="C254" s="565">
        <f t="shared" si="250"/>
        <v>42647.62</v>
      </c>
      <c r="D254" s="565">
        <f t="shared" si="250"/>
        <v>84040</v>
      </c>
      <c r="E254" s="565">
        <f t="shared" si="250"/>
        <v>88954.12</v>
      </c>
      <c r="F254" s="568">
        <f t="shared" si="250"/>
        <v>223207</v>
      </c>
      <c r="G254" s="568">
        <f t="shared" si="250"/>
        <v>395241.62</v>
      </c>
      <c r="H254" s="646">
        <f t="shared" ref="H254" si="251">E254/F254</f>
        <v>0.39852746553647511</v>
      </c>
      <c r="I254" s="568">
        <f t="shared" si="250"/>
        <v>306287.5</v>
      </c>
      <c r="J254" s="568"/>
      <c r="K254" s="426">
        <f t="shared" si="250"/>
        <v>132501</v>
      </c>
      <c r="L254" s="378">
        <f t="shared" si="250"/>
        <v>0</v>
      </c>
      <c r="M254" s="378">
        <f t="shared" si="250"/>
        <v>0</v>
      </c>
      <c r="N254" s="378">
        <f t="shared" si="250"/>
        <v>0</v>
      </c>
      <c r="O254" s="378">
        <f t="shared" si="250"/>
        <v>0</v>
      </c>
      <c r="P254" s="378"/>
      <c r="Q254" s="351"/>
    </row>
    <row r="255" spans="1:22">
      <c r="A255" s="350"/>
      <c r="B255" s="385"/>
      <c r="C255" s="385"/>
      <c r="D255" s="419"/>
      <c r="E255" s="426"/>
      <c r="F255" s="422"/>
      <c r="G255" s="742"/>
      <c r="H255" s="652"/>
      <c r="I255" s="422"/>
      <c r="J255" s="422"/>
      <c r="K255" s="424"/>
      <c r="L255" s="350"/>
      <c r="M255" s="350"/>
      <c r="N255" s="350"/>
      <c r="O255" s="350"/>
      <c r="P255" s="350"/>
      <c r="Q255" s="350"/>
    </row>
    <row r="256" spans="1:22">
      <c r="A256" s="405" t="s">
        <v>468</v>
      </c>
      <c r="B256" s="567">
        <f t="shared" ref="B256:O256" si="252">B233</f>
        <v>423245</v>
      </c>
      <c r="C256" s="567">
        <f t="shared" si="252"/>
        <v>413161.24000000011</v>
      </c>
      <c r="D256" s="566">
        <f t="shared" ref="D256:E256" si="253">D233</f>
        <v>-672722.62783772964</v>
      </c>
      <c r="E256" s="671">
        <f t="shared" si="253"/>
        <v>-96421.949999999837</v>
      </c>
      <c r="F256" s="566">
        <f t="shared" si="252"/>
        <v>-567526.3383039753</v>
      </c>
      <c r="G256" s="736">
        <f t="shared" ref="G256" si="254">G233</f>
        <v>-522698.67830397515</v>
      </c>
      <c r="H256" s="648">
        <f t="shared" ref="H256:H257" si="255">E256/G256</f>
        <v>0.18446947352701301</v>
      </c>
      <c r="I256" s="566">
        <f t="shared" ref="I256" si="256">I233</f>
        <v>-426276.72830397543</v>
      </c>
      <c r="J256" s="566"/>
      <c r="K256" s="430">
        <f t="shared" si="252"/>
        <v>-619590.60255929083</v>
      </c>
      <c r="L256" s="406">
        <f t="shared" si="252"/>
        <v>645168.42797772214</v>
      </c>
      <c r="M256" s="406">
        <f t="shared" si="252"/>
        <v>1764430.1220762515</v>
      </c>
      <c r="N256" s="406">
        <f t="shared" si="252"/>
        <v>2980193.8871517358</v>
      </c>
      <c r="O256" s="406">
        <f t="shared" si="252"/>
        <v>4208714.5697274664</v>
      </c>
      <c r="P256" s="406"/>
      <c r="Q256" s="407"/>
    </row>
    <row r="257" spans="1:17">
      <c r="A257" s="405" t="s">
        <v>471</v>
      </c>
      <c r="B257" s="567">
        <f t="shared" ref="B257:G257" si="257">B254</f>
        <v>208978.5</v>
      </c>
      <c r="C257" s="567">
        <f t="shared" si="257"/>
        <v>42647.62</v>
      </c>
      <c r="D257" s="566">
        <f t="shared" si="257"/>
        <v>84040</v>
      </c>
      <c r="E257" s="671">
        <f t="shared" si="257"/>
        <v>88954.12</v>
      </c>
      <c r="F257" s="566">
        <f t="shared" si="257"/>
        <v>223207</v>
      </c>
      <c r="G257" s="736">
        <f t="shared" si="257"/>
        <v>395241.62</v>
      </c>
      <c r="H257" s="648">
        <f t="shared" si="255"/>
        <v>0.22506263383901726</v>
      </c>
      <c r="I257" s="566">
        <f>I254</f>
        <v>306287.5</v>
      </c>
      <c r="J257" s="566"/>
      <c r="K257" s="430">
        <f t="shared" ref="K257" si="258">K254</f>
        <v>132501</v>
      </c>
      <c r="L257" s="406">
        <f t="shared" ref="L257:O257" si="259">L254</f>
        <v>0</v>
      </c>
      <c r="M257" s="406">
        <f t="shared" si="259"/>
        <v>0</v>
      </c>
      <c r="N257" s="406">
        <f t="shared" si="259"/>
        <v>0</v>
      </c>
      <c r="O257" s="406">
        <f t="shared" si="259"/>
        <v>0</v>
      </c>
      <c r="P257" s="406"/>
      <c r="Q257" s="407"/>
    </row>
    <row r="258" spans="1:17">
      <c r="A258" s="405" t="s">
        <v>469</v>
      </c>
      <c r="B258" s="567">
        <v>93750</v>
      </c>
      <c r="C258" s="567">
        <v>93750</v>
      </c>
      <c r="D258" s="566"/>
      <c r="E258" s="671"/>
      <c r="F258" s="566"/>
      <c r="G258" s="736"/>
      <c r="H258" s="648"/>
      <c r="I258" s="566"/>
      <c r="J258" s="566"/>
      <c r="K258" s="430"/>
      <c r="L258" s="406"/>
      <c r="M258" s="406"/>
      <c r="N258" s="406"/>
      <c r="O258" s="406"/>
      <c r="P258" s="406"/>
      <c r="Q258" s="407"/>
    </row>
    <row r="259" spans="1:17">
      <c r="A259" s="405" t="s">
        <v>470</v>
      </c>
      <c r="B259" s="406"/>
      <c r="C259" s="406"/>
      <c r="D259" s="566">
        <v>20000</v>
      </c>
      <c r="E259" s="671">
        <f>'Balance Sheet'!B13</f>
        <v>20000</v>
      </c>
      <c r="F259" s="566">
        <v>20000</v>
      </c>
      <c r="G259" s="736">
        <v>20000</v>
      </c>
      <c r="H259" s="648"/>
      <c r="I259" s="566">
        <f t="shared" ref="I259" si="260">F259-E259</f>
        <v>0</v>
      </c>
      <c r="J259" s="566"/>
      <c r="K259" s="430">
        <v>20000</v>
      </c>
      <c r="L259" s="406">
        <v>20000</v>
      </c>
      <c r="M259" s="406">
        <v>20000</v>
      </c>
      <c r="N259" s="406">
        <v>20000</v>
      </c>
      <c r="O259" s="406">
        <v>20000</v>
      </c>
      <c r="P259" s="406"/>
      <c r="Q259" s="407" t="s">
        <v>392</v>
      </c>
    </row>
    <row r="260" spans="1:17">
      <c r="A260" s="405" t="s">
        <v>381</v>
      </c>
      <c r="B260" s="406"/>
      <c r="C260" s="406"/>
      <c r="D260" s="566">
        <f t="shared" ref="D260:E260" si="261">D229</f>
        <v>51768.07142857142</v>
      </c>
      <c r="E260" s="671">
        <f t="shared" si="261"/>
        <v>0</v>
      </c>
      <c r="F260" s="566">
        <f t="shared" ref="F260:O260" si="262">F229</f>
        <v>85719.547619047618</v>
      </c>
      <c r="G260" s="736">
        <f t="shared" ref="G260" si="263">G229</f>
        <v>85719.547619047618</v>
      </c>
      <c r="H260" s="648"/>
      <c r="I260" s="566">
        <f t="shared" ref="I260" si="264">I229</f>
        <v>85719.547619047618</v>
      </c>
      <c r="J260" s="566"/>
      <c r="K260" s="430">
        <f t="shared" si="262"/>
        <v>85719.547619047618</v>
      </c>
      <c r="L260" s="406">
        <f t="shared" si="262"/>
        <v>0</v>
      </c>
      <c r="M260" s="406">
        <f t="shared" si="262"/>
        <v>0</v>
      </c>
      <c r="N260" s="406">
        <f t="shared" si="262"/>
        <v>0</v>
      </c>
      <c r="O260" s="406">
        <f t="shared" si="262"/>
        <v>0</v>
      </c>
      <c r="P260" s="406"/>
      <c r="Q260" s="407" t="s">
        <v>384</v>
      </c>
    </row>
    <row r="261" spans="1:17">
      <c r="A261" s="405" t="s">
        <v>382</v>
      </c>
      <c r="B261" s="406"/>
      <c r="C261" s="406"/>
      <c r="D261" s="566">
        <f t="shared" ref="D261:E261" si="265">D226</f>
        <v>925938.20863992791</v>
      </c>
      <c r="E261" s="671">
        <f t="shared" si="265"/>
        <v>231484.56</v>
      </c>
      <c r="F261" s="566">
        <f t="shared" ref="F261:O261" si="266">F226</f>
        <v>925938.20863992791</v>
      </c>
      <c r="G261" s="736">
        <f t="shared" ref="G261" si="267">G226</f>
        <v>925938.20863992791</v>
      </c>
      <c r="H261" s="648"/>
      <c r="I261" s="566">
        <f t="shared" ref="I261" si="268">I226</f>
        <v>694453.64863992785</v>
      </c>
      <c r="J261" s="566"/>
      <c r="K261" s="430">
        <f t="shared" si="266"/>
        <v>925938.20863992791</v>
      </c>
      <c r="L261" s="406">
        <f t="shared" si="266"/>
        <v>701938.20863992791</v>
      </c>
      <c r="M261" s="406">
        <f t="shared" si="266"/>
        <v>451938.20863992791</v>
      </c>
      <c r="N261" s="406">
        <f t="shared" si="266"/>
        <v>201938.20863992791</v>
      </c>
      <c r="O261" s="406">
        <f t="shared" si="266"/>
        <v>-48061.791360072093</v>
      </c>
      <c r="P261" s="406"/>
      <c r="Q261" s="407" t="s">
        <v>384</v>
      </c>
    </row>
    <row r="262" spans="1:17">
      <c r="A262" s="408" t="s">
        <v>467</v>
      </c>
      <c r="B262" s="781">
        <f t="shared" ref="B262:G262" si="269">B256-B257-B258-B259+B260+B261</f>
        <v>120516.5</v>
      </c>
      <c r="C262" s="781">
        <f t="shared" si="269"/>
        <v>276763.62000000011</v>
      </c>
      <c r="D262" s="781">
        <f t="shared" si="269"/>
        <v>200943.65223076963</v>
      </c>
      <c r="E262" s="781">
        <f t="shared" si="269"/>
        <v>26108.490000000165</v>
      </c>
      <c r="F262" s="782">
        <f t="shared" si="269"/>
        <v>200924.41795500019</v>
      </c>
      <c r="G262" s="782">
        <f t="shared" si="269"/>
        <v>73717.45795500034</v>
      </c>
      <c r="H262" s="783"/>
      <c r="I262" s="782">
        <f>I256-I257-I258-I259+I260+I261</f>
        <v>47608.967955</v>
      </c>
      <c r="J262" s="573"/>
      <c r="K262" s="430">
        <f t="shared" ref="K262" si="270">K256-K257-K258-K259+K260+K261</f>
        <v>239566.15369968466</v>
      </c>
      <c r="L262" s="409">
        <f t="shared" ref="L262:O262" si="271">L256-L257-L258-L259+L260+L261</f>
        <v>1327106.63661765</v>
      </c>
      <c r="M262" s="409">
        <f t="shared" si="271"/>
        <v>2196368.3307161797</v>
      </c>
      <c r="N262" s="409">
        <f t="shared" si="271"/>
        <v>3162132.095791664</v>
      </c>
      <c r="O262" s="409">
        <f t="shared" si="271"/>
        <v>4140652.7783673946</v>
      </c>
      <c r="P262" s="409"/>
      <c r="Q262" s="410"/>
    </row>
    <row r="263" spans="1:17">
      <c r="A263" s="350"/>
      <c r="B263" s="350"/>
      <c r="C263" s="350"/>
      <c r="D263" s="659"/>
      <c r="E263" s="350"/>
      <c r="F263" s="440"/>
      <c r="G263" s="440"/>
      <c r="H263" s="440"/>
      <c r="I263" s="440"/>
      <c r="J263" s="440"/>
      <c r="K263" s="353"/>
      <c r="L263" s="350"/>
      <c r="M263" s="350"/>
      <c r="N263" s="350"/>
      <c r="O263" s="350"/>
      <c r="P263" s="350"/>
      <c r="Q263" s="350"/>
    </row>
    <row r="265" spans="1:17">
      <c r="E265" s="673"/>
      <c r="G265" s="607"/>
    </row>
    <row r="266" spans="1:17">
      <c r="E266" s="673"/>
      <c r="F266" s="607"/>
      <c r="G266" s="607"/>
    </row>
    <row r="267" spans="1:17">
      <c r="E267" s="673"/>
      <c r="F267" s="607"/>
      <c r="G267" s="607"/>
    </row>
    <row r="268" spans="1:17">
      <c r="F268" s="607"/>
      <c r="G268" s="607"/>
      <c r="H268" s="607"/>
      <c r="I268" s="607"/>
      <c r="J268" s="607"/>
    </row>
    <row r="269" spans="1:17">
      <c r="F269" s="607"/>
      <c r="G269" s="607"/>
      <c r="H269" s="607"/>
      <c r="I269" s="607"/>
      <c r="J269" s="607"/>
    </row>
    <row r="270" spans="1:17">
      <c r="F270" s="607"/>
      <c r="G270" s="607"/>
      <c r="H270" s="607"/>
      <c r="I270" s="607"/>
      <c r="J270" s="607"/>
    </row>
    <row r="272" spans="1:17">
      <c r="F272" s="607"/>
      <c r="G272" s="607"/>
      <c r="H272" s="607"/>
      <c r="I272" s="607"/>
      <c r="J272" s="607"/>
    </row>
    <row r="273" spans="6:10">
      <c r="F273" s="607"/>
      <c r="G273" s="607"/>
      <c r="H273" s="607"/>
      <c r="I273" s="607"/>
      <c r="J273" s="607"/>
    </row>
    <row r="274" spans="6:10">
      <c r="F274" s="607"/>
      <c r="G274" s="607"/>
      <c r="H274" s="607"/>
      <c r="I274" s="607"/>
      <c r="J274" s="607"/>
    </row>
    <row r="276" spans="6:10">
      <c r="F276" s="607"/>
      <c r="G276" s="607"/>
      <c r="H276" s="607"/>
      <c r="I276" s="607"/>
      <c r="J276" s="607"/>
    </row>
  </sheetData>
  <mergeCells count="3">
    <mergeCell ref="A1:A11"/>
    <mergeCell ref="B1:C1"/>
    <mergeCell ref="D1:I1"/>
  </mergeCells>
  <pageMargins left="0.2" right="0.2" top="0.5" bottom="0.5" header="0" footer="0"/>
  <pageSetup paperSize="5" scale="65" fitToHeight="0" orientation="landscape" r:id="rId1"/>
  <ignoredErrors>
    <ignoredError sqref="L114:O11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1"/>
  <sheetViews>
    <sheetView workbookViewId="0">
      <selection activeCell="F13" sqref="F13"/>
    </sheetView>
  </sheetViews>
  <sheetFormatPr defaultColWidth="8.8203125" defaultRowHeight="14.35"/>
  <cols>
    <col min="1" max="2" width="29.46875" customWidth="1"/>
    <col min="3" max="5" width="0" hidden="1" customWidth="1"/>
    <col min="7" max="11" width="0" hidden="1" customWidth="1"/>
  </cols>
  <sheetData>
    <row r="1" spans="1:12">
      <c r="A1" s="94" t="s">
        <v>223</v>
      </c>
      <c r="B1" s="95"/>
      <c r="C1" s="95"/>
      <c r="D1" s="96"/>
      <c r="E1" s="97"/>
      <c r="F1" s="98"/>
      <c r="G1" s="98"/>
      <c r="H1" s="98"/>
      <c r="I1" s="98"/>
      <c r="J1" s="98"/>
      <c r="K1" s="96"/>
      <c r="L1" s="95"/>
    </row>
    <row r="2" spans="1:12">
      <c r="A2" s="96" t="s">
        <v>224</v>
      </c>
      <c r="B2" s="99">
        <v>20000</v>
      </c>
      <c r="C2" s="94"/>
      <c r="D2" s="100"/>
      <c r="E2" s="98">
        <v>2500</v>
      </c>
      <c r="F2" s="101">
        <v>25000</v>
      </c>
      <c r="G2" s="101">
        <v>20299.999999999996</v>
      </c>
      <c r="H2" s="101">
        <v>20604.499999999993</v>
      </c>
      <c r="I2" s="101">
        <v>20913.567499999994</v>
      </c>
      <c r="J2" s="101">
        <v>21227.27101249999</v>
      </c>
      <c r="K2" s="96"/>
      <c r="L2" s="102" t="s">
        <v>225</v>
      </c>
    </row>
    <row r="3" spans="1:12">
      <c r="A3" s="103" t="s">
        <v>226</v>
      </c>
      <c r="B3" s="99">
        <v>10000</v>
      </c>
      <c r="C3" s="94"/>
      <c r="D3" s="100"/>
      <c r="E3" s="98">
        <v>10000</v>
      </c>
      <c r="F3" s="101">
        <v>10000</v>
      </c>
      <c r="G3" s="101">
        <v>10149.999999999998</v>
      </c>
      <c r="H3" s="101">
        <v>10302.249999999996</v>
      </c>
      <c r="I3" s="101">
        <v>10456.783749999997</v>
      </c>
      <c r="J3" s="101">
        <v>10613.635506249995</v>
      </c>
      <c r="K3" s="96"/>
      <c r="L3" s="102" t="s">
        <v>227</v>
      </c>
    </row>
    <row r="4" spans="1:12">
      <c r="A4" s="103" t="s">
        <v>228</v>
      </c>
      <c r="B4" s="99">
        <v>0</v>
      </c>
      <c r="C4" s="94"/>
      <c r="D4" s="100"/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6"/>
      <c r="L4" s="104" t="s">
        <v>229</v>
      </c>
    </row>
    <row r="5" spans="1:12">
      <c r="A5" s="96" t="s">
        <v>230</v>
      </c>
      <c r="B5" s="105">
        <v>6</v>
      </c>
      <c r="C5" s="94"/>
      <c r="D5" s="100"/>
      <c r="E5" s="98">
        <v>0</v>
      </c>
      <c r="F5" s="98">
        <v>126540</v>
      </c>
      <c r="G5" s="98">
        <v>189810</v>
      </c>
      <c r="H5" s="98">
        <v>253080</v>
      </c>
      <c r="I5" s="98">
        <v>310023</v>
      </c>
      <c r="J5" s="98">
        <v>361693.5</v>
      </c>
      <c r="K5" s="96"/>
      <c r="L5" s="102" t="s">
        <v>231</v>
      </c>
    </row>
    <row r="6" spans="1:12">
      <c r="A6" s="96" t="s">
        <v>232</v>
      </c>
      <c r="B6" s="106" t="s">
        <v>233</v>
      </c>
      <c r="C6" s="94"/>
      <c r="D6" s="100"/>
      <c r="E6" s="98">
        <v>1680</v>
      </c>
      <c r="F6" s="98">
        <v>1878.54</v>
      </c>
      <c r="G6" s="98">
        <v>2069.34</v>
      </c>
      <c r="H6" s="98">
        <v>2311.02</v>
      </c>
      <c r="I6" s="98">
        <v>2450.94</v>
      </c>
      <c r="J6" s="98">
        <v>2654.46</v>
      </c>
      <c r="K6" s="96"/>
      <c r="L6" s="104" t="s">
        <v>234</v>
      </c>
    </row>
    <row r="7" spans="1:12">
      <c r="A7" s="95" t="s">
        <v>235</v>
      </c>
      <c r="B7" s="99">
        <v>500</v>
      </c>
      <c r="C7" s="94"/>
      <c r="D7" s="100"/>
      <c r="E7" s="98">
        <v>0</v>
      </c>
      <c r="F7" s="98">
        <v>13200</v>
      </c>
      <c r="G7" s="98">
        <v>20096.999999999996</v>
      </c>
      <c r="H7" s="98">
        <v>27197.939999999991</v>
      </c>
      <c r="I7" s="98">
        <v>33817.238647499988</v>
      </c>
      <c r="J7" s="98">
        <v>40045.246765081225</v>
      </c>
      <c r="K7" s="96"/>
      <c r="L7" s="102" t="s">
        <v>236</v>
      </c>
    </row>
    <row r="8" spans="1:12">
      <c r="A8" s="102" t="s">
        <v>237</v>
      </c>
      <c r="B8" s="99">
        <v>4500</v>
      </c>
      <c r="C8" s="94"/>
      <c r="D8" s="100"/>
      <c r="E8" s="98">
        <v>0</v>
      </c>
      <c r="F8" s="98">
        <v>4500</v>
      </c>
      <c r="G8" s="98">
        <v>4567.5</v>
      </c>
      <c r="H8" s="98">
        <v>4636.0124999999989</v>
      </c>
      <c r="I8" s="98">
        <v>4705.5526874999978</v>
      </c>
      <c r="J8" s="98">
        <v>4776.135977812497</v>
      </c>
      <c r="K8" s="96"/>
      <c r="L8" s="102" t="s">
        <v>238</v>
      </c>
    </row>
    <row r="9" spans="1:12">
      <c r="A9" s="96" t="s">
        <v>239</v>
      </c>
      <c r="B9" s="99">
        <v>10</v>
      </c>
      <c r="C9" s="94"/>
      <c r="D9" s="100"/>
      <c r="E9" s="98">
        <v>0</v>
      </c>
      <c r="F9" s="98">
        <v>11200</v>
      </c>
      <c r="G9" s="98">
        <v>1826.9999999999998</v>
      </c>
      <c r="H9" s="98">
        <v>2472.5399999999995</v>
      </c>
      <c r="I9" s="98">
        <v>3074.2944224999987</v>
      </c>
      <c r="J9" s="98">
        <v>3640.4769786437482</v>
      </c>
      <c r="K9" s="96"/>
      <c r="L9" s="95" t="s">
        <v>240</v>
      </c>
    </row>
    <row r="10" spans="1:12">
      <c r="A10" s="96" t="s">
        <v>241</v>
      </c>
      <c r="B10" s="99">
        <v>2000</v>
      </c>
      <c r="C10" s="94"/>
      <c r="D10" s="100"/>
      <c r="E10" s="98">
        <v>0</v>
      </c>
      <c r="F10" s="98">
        <v>24000</v>
      </c>
      <c r="G10" s="98">
        <v>24359.999999999996</v>
      </c>
      <c r="H10" s="98">
        <v>24725.399999999994</v>
      </c>
      <c r="I10" s="98">
        <v>25096.280999999992</v>
      </c>
      <c r="J10" s="98">
        <v>25472.725214999988</v>
      </c>
      <c r="K10" s="96"/>
      <c r="L10" s="104" t="s">
        <v>242</v>
      </c>
    </row>
    <row r="11" spans="1:12">
      <c r="A11" s="96" t="s">
        <v>243</v>
      </c>
      <c r="B11" s="106" t="s">
        <v>233</v>
      </c>
      <c r="C11" s="94"/>
      <c r="D11" s="100"/>
      <c r="E11" s="98">
        <v>24999</v>
      </c>
      <c r="F11" s="98">
        <v>89694.720000000001</v>
      </c>
      <c r="G11" s="98">
        <v>123763.50000000001</v>
      </c>
      <c r="H11" s="98">
        <v>143805.53200000001</v>
      </c>
      <c r="I11" s="98">
        <v>150000</v>
      </c>
      <c r="J11" s="98">
        <v>150000</v>
      </c>
      <c r="K11" s="96"/>
      <c r="L11" s="102" t="s">
        <v>244</v>
      </c>
    </row>
    <row r="12" spans="1:12">
      <c r="A12" s="96" t="s">
        <v>245</v>
      </c>
      <c r="B12" s="99">
        <v>4000</v>
      </c>
      <c r="C12" s="94"/>
      <c r="D12" s="100"/>
      <c r="E12" s="98">
        <v>3000</v>
      </c>
      <c r="F12" s="101">
        <v>4000</v>
      </c>
      <c r="G12" s="101">
        <v>4000</v>
      </c>
      <c r="H12" s="101">
        <v>4000</v>
      </c>
      <c r="I12" s="101">
        <v>4000</v>
      </c>
      <c r="J12" s="101">
        <v>4000</v>
      </c>
      <c r="K12" s="96"/>
      <c r="L12" s="104" t="s">
        <v>246</v>
      </c>
    </row>
    <row r="13" spans="1:12">
      <c r="A13" s="103" t="s">
        <v>247</v>
      </c>
      <c r="B13" s="99">
        <v>100</v>
      </c>
      <c r="C13" s="94"/>
      <c r="D13" s="100"/>
      <c r="E13" s="107">
        <v>162.5</v>
      </c>
      <c r="F13" s="107">
        <v>1387.5</v>
      </c>
      <c r="G13" s="107">
        <v>750</v>
      </c>
      <c r="H13" s="107">
        <v>950</v>
      </c>
      <c r="I13" s="107">
        <v>550</v>
      </c>
      <c r="J13" s="107">
        <v>800</v>
      </c>
      <c r="K13" s="108"/>
      <c r="L13" s="104" t="s">
        <v>248</v>
      </c>
    </row>
    <row r="14" spans="1:12">
      <c r="A14" s="108" t="s">
        <v>249</v>
      </c>
      <c r="B14" s="109">
        <v>0</v>
      </c>
      <c r="C14" s="94"/>
      <c r="D14" s="100"/>
      <c r="E14" s="101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6"/>
      <c r="L14" s="102" t="s">
        <v>250</v>
      </c>
    </row>
    <row r="15" spans="1:12">
      <c r="A15" s="108" t="s">
        <v>251</v>
      </c>
      <c r="B15" s="99">
        <v>10000</v>
      </c>
      <c r="C15" s="94"/>
      <c r="D15" s="100"/>
      <c r="E15" s="101">
        <v>10000</v>
      </c>
      <c r="F15" s="98">
        <v>10000</v>
      </c>
      <c r="G15" s="98">
        <v>10000</v>
      </c>
      <c r="H15" s="98">
        <v>0</v>
      </c>
      <c r="I15" s="98">
        <v>0</v>
      </c>
      <c r="J15" s="98">
        <v>0</v>
      </c>
      <c r="K15" s="96"/>
      <c r="L15" s="102" t="s">
        <v>252</v>
      </c>
    </row>
    <row r="16" spans="1:12">
      <c r="A16" s="103" t="s">
        <v>253</v>
      </c>
      <c r="B16" s="99">
        <v>3000</v>
      </c>
      <c r="C16" s="94"/>
      <c r="D16" s="100"/>
      <c r="E16" s="101">
        <v>3000</v>
      </c>
      <c r="F16" s="101">
        <v>3000</v>
      </c>
      <c r="G16" s="101">
        <v>3000</v>
      </c>
      <c r="H16" s="101">
        <v>3000</v>
      </c>
      <c r="I16" s="101">
        <v>3000</v>
      </c>
      <c r="J16" s="101">
        <v>3000</v>
      </c>
      <c r="K16" s="96"/>
      <c r="L16" s="102"/>
    </row>
    <row r="17" spans="1:12">
      <c r="A17" s="110" t="s">
        <v>254</v>
      </c>
      <c r="B17" s="109">
        <v>5000</v>
      </c>
      <c r="C17" s="94"/>
      <c r="D17" s="100"/>
      <c r="E17" s="98">
        <v>0</v>
      </c>
      <c r="F17" s="98">
        <v>5000</v>
      </c>
      <c r="G17" s="98">
        <v>7612.4999999999991</v>
      </c>
      <c r="H17" s="98">
        <v>10302.249999999996</v>
      </c>
      <c r="I17" s="98">
        <v>13070.979687499996</v>
      </c>
      <c r="J17" s="98">
        <v>15920.453259374992</v>
      </c>
      <c r="K17" s="96"/>
      <c r="L17" s="102" t="s">
        <v>255</v>
      </c>
    </row>
    <row r="18" spans="1:12">
      <c r="A18" s="110" t="s">
        <v>256</v>
      </c>
      <c r="B18" s="99">
        <v>0</v>
      </c>
      <c r="C18" s="94"/>
      <c r="D18" s="100"/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6"/>
      <c r="L18" s="102" t="s">
        <v>257</v>
      </c>
    </row>
    <row r="19" spans="1:12">
      <c r="A19" s="110" t="s">
        <v>258</v>
      </c>
      <c r="B19" s="109">
        <v>5000</v>
      </c>
      <c r="C19" s="94"/>
      <c r="D19" s="100"/>
      <c r="E19" s="98">
        <v>0</v>
      </c>
      <c r="F19" s="98">
        <v>0</v>
      </c>
      <c r="G19" s="98">
        <v>10000</v>
      </c>
      <c r="H19" s="98">
        <v>15000</v>
      </c>
      <c r="I19" s="98">
        <v>20000</v>
      </c>
      <c r="J19" s="98">
        <v>25000</v>
      </c>
      <c r="K19" s="96"/>
      <c r="L19" s="102" t="s">
        <v>259</v>
      </c>
    </row>
    <row r="20" spans="1:12" ht="14.7" thickBot="1">
      <c r="A20" s="110" t="s">
        <v>260</v>
      </c>
      <c r="B20" s="109">
        <v>0</v>
      </c>
      <c r="C20" s="94"/>
      <c r="D20" s="100"/>
      <c r="E20" s="111"/>
      <c r="F20" s="111">
        <v>0</v>
      </c>
      <c r="G20" s="111">
        <v>0</v>
      </c>
      <c r="H20" s="111">
        <v>0</v>
      </c>
      <c r="I20" s="111">
        <v>0</v>
      </c>
      <c r="J20" s="111"/>
      <c r="K20" s="96"/>
      <c r="L20" s="102" t="s">
        <v>261</v>
      </c>
    </row>
    <row r="21" spans="1:12" ht="14.7" thickTop="1">
      <c r="A21" s="108"/>
      <c r="B21" s="112"/>
      <c r="C21" s="100"/>
      <c r="D21" s="100"/>
      <c r="E21" s="98">
        <v>55341.5</v>
      </c>
      <c r="F21" s="98">
        <v>324400.76</v>
      </c>
      <c r="G21" s="98">
        <v>432306.83999999997</v>
      </c>
      <c r="H21" s="98">
        <v>522387.44449999998</v>
      </c>
      <c r="I21" s="98">
        <v>601158.63769500004</v>
      </c>
      <c r="J21" s="98">
        <v>668843.90471466247</v>
      </c>
      <c r="K21" s="96"/>
      <c r="L21" s="10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42"/>
  <sheetViews>
    <sheetView topLeftCell="A3" zoomScale="70" zoomScaleNormal="70" workbookViewId="0">
      <pane ySplit="14" topLeftCell="A29" activePane="bottomLeft" state="frozen"/>
      <selection activeCell="A3" sqref="A3"/>
      <selection pane="bottomLeft" activeCell="P232" sqref="P232:P239"/>
    </sheetView>
  </sheetViews>
  <sheetFormatPr defaultColWidth="8.8203125" defaultRowHeight="14.35" outlineLevelRow="1"/>
  <cols>
    <col min="2" max="2" width="41.46875" customWidth="1"/>
    <col min="3" max="3" width="13.46875" customWidth="1"/>
    <col min="5" max="5" width="11" customWidth="1"/>
    <col min="6" max="7" width="10.46875" customWidth="1"/>
    <col min="8" max="8" width="9.46875" customWidth="1"/>
    <col min="9" max="9" width="10.46875" customWidth="1"/>
    <col min="10" max="15" width="9.46875" customWidth="1"/>
    <col min="16" max="16" width="10.46875" customWidth="1"/>
    <col min="17" max="17" width="15.46875" customWidth="1"/>
    <col min="18" max="18" width="14.46875" customWidth="1"/>
  </cols>
  <sheetData>
    <row r="1" spans="1:25" s="236" customFormat="1" ht="42" customHeight="1">
      <c r="A1" s="233"/>
      <c r="B1" s="873" t="s">
        <v>505</v>
      </c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5"/>
      <c r="R1" s="234"/>
      <c r="S1" s="235" t="s">
        <v>506</v>
      </c>
      <c r="T1" s="234"/>
      <c r="U1" s="235"/>
      <c r="W1" s="237"/>
    </row>
    <row r="2" spans="1:25" s="236" customFormat="1" ht="36" customHeight="1" thickBot="1">
      <c r="A2" s="233"/>
      <c r="B2" s="876" t="s">
        <v>507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8"/>
      <c r="R2" s="238"/>
      <c r="S2" s="239">
        <v>12</v>
      </c>
      <c r="T2" s="238"/>
      <c r="W2" s="240"/>
      <c r="X2" s="241"/>
      <c r="Y2" s="241"/>
    </row>
    <row r="3" spans="1:25" s="236" customFormat="1" ht="18.350000000000001" thickBot="1">
      <c r="A3" s="233"/>
      <c r="B3" s="242"/>
      <c r="C3" s="243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38"/>
      <c r="S3" s="244"/>
      <c r="T3" s="238"/>
      <c r="W3" s="240"/>
      <c r="X3" s="241"/>
      <c r="Y3" s="241"/>
    </row>
    <row r="4" spans="1:25" s="248" customFormat="1" ht="13.35" thickBot="1">
      <c r="A4" s="245"/>
      <c r="B4" s="246" t="s">
        <v>508</v>
      </c>
      <c r="C4" s="247" t="s">
        <v>509</v>
      </c>
      <c r="E4" s="246" t="s">
        <v>533</v>
      </c>
      <c r="F4" s="246" t="s">
        <v>510</v>
      </c>
      <c r="G4" s="246" t="s">
        <v>511</v>
      </c>
      <c r="H4" s="246" t="s">
        <v>512</v>
      </c>
      <c r="I4" s="246" t="s">
        <v>513</v>
      </c>
      <c r="J4" s="246" t="s">
        <v>514</v>
      </c>
      <c r="K4" s="246" t="s">
        <v>515</v>
      </c>
      <c r="L4" s="246" t="s">
        <v>516</v>
      </c>
      <c r="M4" s="246" t="s">
        <v>517</v>
      </c>
      <c r="N4" s="246" t="s">
        <v>518</v>
      </c>
      <c r="O4" s="246" t="s">
        <v>519</v>
      </c>
      <c r="P4" s="246" t="s">
        <v>520</v>
      </c>
      <c r="Q4" s="246" t="s">
        <v>521</v>
      </c>
      <c r="R4" s="249"/>
      <c r="S4" s="250" t="s">
        <v>522</v>
      </c>
      <c r="T4" s="249"/>
      <c r="U4" s="246" t="s">
        <v>472</v>
      </c>
      <c r="V4" s="251"/>
      <c r="W4" s="251"/>
      <c r="X4" s="251"/>
      <c r="Y4" s="251"/>
    </row>
    <row r="5" spans="1:25" s="248" customFormat="1" ht="13">
      <c r="A5" s="245"/>
      <c r="B5" s="252" t="s">
        <v>523</v>
      </c>
      <c r="C5" s="253"/>
      <c r="E5" s="271">
        <v>181929</v>
      </c>
      <c r="F5" s="253" t="e">
        <f t="shared" ref="F5" si="0">E13</f>
        <v>#N/A</v>
      </c>
      <c r="G5" s="253" t="e">
        <f t="shared" ref="G5" si="1">F13</f>
        <v>#N/A</v>
      </c>
      <c r="H5" s="253" t="e">
        <f t="shared" ref="H5" si="2">G13</f>
        <v>#N/A</v>
      </c>
      <c r="I5" s="253" t="e">
        <f t="shared" ref="I5" si="3">H13</f>
        <v>#N/A</v>
      </c>
      <c r="J5" s="253" t="e">
        <f t="shared" ref="J5" si="4">I13</f>
        <v>#N/A</v>
      </c>
      <c r="K5" s="253" t="e">
        <f t="shared" ref="K5" si="5">J13</f>
        <v>#N/A</v>
      </c>
      <c r="L5" s="253" t="e">
        <f t="shared" ref="L5:Q5" si="6">K13</f>
        <v>#N/A</v>
      </c>
      <c r="M5" s="253" t="e">
        <f t="shared" si="6"/>
        <v>#N/A</v>
      </c>
      <c r="N5" s="253" t="e">
        <f t="shared" si="6"/>
        <v>#N/A</v>
      </c>
      <c r="O5" s="253" t="e">
        <f t="shared" si="6"/>
        <v>#N/A</v>
      </c>
      <c r="P5" s="253" t="e">
        <f t="shared" si="6"/>
        <v>#N/A</v>
      </c>
      <c r="Q5" s="253" t="e">
        <f t="shared" si="6"/>
        <v>#N/A</v>
      </c>
      <c r="R5" s="249"/>
      <c r="S5" s="254"/>
      <c r="T5" s="249"/>
      <c r="V5" s="251"/>
      <c r="W5" s="251"/>
      <c r="X5" s="251"/>
      <c r="Y5" s="251"/>
    </row>
    <row r="6" spans="1:25" s="248" customFormat="1" ht="13">
      <c r="A6" s="245"/>
      <c r="B6" s="255" t="s">
        <v>524</v>
      </c>
      <c r="C6" s="256">
        <f>C24</f>
        <v>0</v>
      </c>
      <c r="D6" s="257"/>
      <c r="E6" s="256">
        <f>E54</f>
        <v>0</v>
      </c>
      <c r="F6" s="256">
        <f t="shared" ref="F6:Q6" si="7">F54</f>
        <v>0</v>
      </c>
      <c r="G6" s="256">
        <f t="shared" si="7"/>
        <v>0</v>
      </c>
      <c r="H6" s="256">
        <f t="shared" si="7"/>
        <v>0</v>
      </c>
      <c r="I6" s="256">
        <f t="shared" si="7"/>
        <v>85233.8</v>
      </c>
      <c r="J6" s="256">
        <f t="shared" si="7"/>
        <v>0</v>
      </c>
      <c r="K6" s="256">
        <f t="shared" si="7"/>
        <v>170467.6</v>
      </c>
      <c r="L6" s="256">
        <f t="shared" si="7"/>
        <v>0</v>
      </c>
      <c r="M6" s="256">
        <f t="shared" si="7"/>
        <v>0</v>
      </c>
      <c r="N6" s="256">
        <f t="shared" si="7"/>
        <v>127850.7</v>
      </c>
      <c r="O6" s="256">
        <f t="shared" si="7"/>
        <v>0</v>
      </c>
      <c r="P6" s="256">
        <f t="shared" si="7"/>
        <v>0</v>
      </c>
      <c r="Q6" s="256">
        <f t="shared" si="7"/>
        <v>50402.9</v>
      </c>
      <c r="R6" s="249"/>
      <c r="S6" s="254"/>
      <c r="T6" s="249"/>
      <c r="V6" s="251"/>
      <c r="W6" s="251"/>
      <c r="X6" s="251"/>
      <c r="Y6" s="251"/>
    </row>
    <row r="7" spans="1:25" s="248" customFormat="1" ht="13">
      <c r="A7" s="245"/>
      <c r="B7" s="255" t="s">
        <v>525</v>
      </c>
      <c r="C7" s="256">
        <f>C92</f>
        <v>0</v>
      </c>
      <c r="D7" s="257"/>
      <c r="E7" s="256" t="e">
        <f>-E228</f>
        <v>#N/A</v>
      </c>
      <c r="F7" s="256" t="e">
        <f t="shared" ref="F7:Q7" si="8">-F228</f>
        <v>#N/A</v>
      </c>
      <c r="G7" s="256" t="e">
        <f t="shared" si="8"/>
        <v>#N/A</v>
      </c>
      <c r="H7" s="256" t="e">
        <f t="shared" si="8"/>
        <v>#N/A</v>
      </c>
      <c r="I7" s="256" t="e">
        <f t="shared" si="8"/>
        <v>#N/A</v>
      </c>
      <c r="J7" s="256" t="e">
        <f t="shared" si="8"/>
        <v>#N/A</v>
      </c>
      <c r="K7" s="256" t="e">
        <f t="shared" si="8"/>
        <v>#N/A</v>
      </c>
      <c r="L7" s="256" t="e">
        <f t="shared" si="8"/>
        <v>#N/A</v>
      </c>
      <c r="M7" s="256" t="e">
        <f t="shared" si="8"/>
        <v>#N/A</v>
      </c>
      <c r="N7" s="256" t="e">
        <f t="shared" si="8"/>
        <v>#N/A</v>
      </c>
      <c r="O7" s="256" t="e">
        <f t="shared" si="8"/>
        <v>#N/A</v>
      </c>
      <c r="P7" s="256" t="e">
        <f t="shared" si="8"/>
        <v>#N/A</v>
      </c>
      <c r="Q7" s="256" t="e">
        <f t="shared" si="8"/>
        <v>#N/A</v>
      </c>
      <c r="R7" s="249"/>
      <c r="S7" s="254"/>
      <c r="T7" s="249"/>
      <c r="V7" s="251"/>
      <c r="W7" s="251"/>
      <c r="X7" s="251"/>
      <c r="Y7" s="251"/>
    </row>
    <row r="8" spans="1:25" s="248" customFormat="1" ht="13">
      <c r="A8" s="245"/>
      <c r="B8" s="258" t="s">
        <v>526</v>
      </c>
      <c r="C8" s="259"/>
      <c r="D8" s="257"/>
      <c r="E8" s="259" t="e">
        <f>SUM(E5:E7)</f>
        <v>#N/A</v>
      </c>
      <c r="F8" s="259" t="e">
        <f t="shared" ref="F8:G8" si="9">SUM(F5:F7)</f>
        <v>#N/A</v>
      </c>
      <c r="G8" s="259" t="e">
        <f t="shared" si="9"/>
        <v>#N/A</v>
      </c>
      <c r="H8" s="259" t="e">
        <f>SUM(H5:H7)</f>
        <v>#N/A</v>
      </c>
      <c r="I8" s="259" t="e">
        <f t="shared" ref="I8:Q8" si="10">SUM(I5:I7)</f>
        <v>#N/A</v>
      </c>
      <c r="J8" s="259" t="e">
        <f t="shared" si="10"/>
        <v>#N/A</v>
      </c>
      <c r="K8" s="259" t="e">
        <f>SUM(K5:K7)</f>
        <v>#N/A</v>
      </c>
      <c r="L8" s="259" t="e">
        <f t="shared" si="10"/>
        <v>#N/A</v>
      </c>
      <c r="M8" s="259" t="e">
        <f t="shared" si="10"/>
        <v>#N/A</v>
      </c>
      <c r="N8" s="259" t="e">
        <f t="shared" si="10"/>
        <v>#N/A</v>
      </c>
      <c r="O8" s="259" t="e">
        <f t="shared" si="10"/>
        <v>#N/A</v>
      </c>
      <c r="P8" s="259" t="e">
        <f t="shared" si="10"/>
        <v>#N/A</v>
      </c>
      <c r="Q8" s="259" t="e">
        <f t="shared" si="10"/>
        <v>#N/A</v>
      </c>
      <c r="R8" s="249"/>
      <c r="S8" s="254"/>
      <c r="T8" s="249"/>
      <c r="V8" s="251"/>
      <c r="W8" s="251"/>
      <c r="X8" s="251"/>
      <c r="Y8" s="251"/>
    </row>
    <row r="9" spans="1:25" s="248" customFormat="1" ht="26">
      <c r="A9" s="245"/>
      <c r="B9" s="255" t="s">
        <v>527</v>
      </c>
      <c r="C9" s="260"/>
      <c r="D9" s="257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49"/>
      <c r="S9" s="254"/>
      <c r="T9" s="249"/>
      <c r="V9" s="251"/>
      <c r="W9" s="251"/>
      <c r="X9" s="251"/>
      <c r="Y9" s="251"/>
    </row>
    <row r="10" spans="1:25" s="248" customFormat="1" ht="13">
      <c r="A10" s="245"/>
      <c r="B10" s="255" t="s">
        <v>528</v>
      </c>
      <c r="C10" s="256"/>
      <c r="D10" s="257"/>
      <c r="E10" s="256"/>
      <c r="F10" s="256"/>
      <c r="G10" s="260"/>
      <c r="H10" s="260"/>
      <c r="I10" s="260"/>
      <c r="J10" s="260"/>
      <c r="K10" s="256"/>
      <c r="L10" s="256"/>
      <c r="M10" s="256">
        <v>0</v>
      </c>
      <c r="N10" s="256"/>
      <c r="O10" s="256"/>
      <c r="P10" s="256"/>
      <c r="Q10" s="256"/>
      <c r="R10" s="249"/>
      <c r="S10" s="254"/>
      <c r="T10" s="249"/>
      <c r="V10" s="251"/>
      <c r="W10" s="251"/>
      <c r="X10" s="251"/>
      <c r="Y10" s="251"/>
    </row>
    <row r="11" spans="1:25" s="248" customFormat="1" ht="13">
      <c r="A11" s="245"/>
      <c r="B11" s="255" t="s">
        <v>529</v>
      </c>
      <c r="C11" s="256"/>
      <c r="E11" s="256">
        <f>-E240</f>
        <v>0</v>
      </c>
      <c r="F11" s="256">
        <f t="shared" ref="F11:Q11" si="11">-F240</f>
        <v>0</v>
      </c>
      <c r="G11" s="256">
        <f t="shared" si="11"/>
        <v>0</v>
      </c>
      <c r="H11" s="256">
        <f t="shared" si="11"/>
        <v>0</v>
      </c>
      <c r="I11" s="256">
        <f t="shared" si="11"/>
        <v>0</v>
      </c>
      <c r="J11" s="256">
        <f t="shared" si="11"/>
        <v>0</v>
      </c>
      <c r="K11" s="256">
        <f t="shared" si="11"/>
        <v>0</v>
      </c>
      <c r="L11" s="256">
        <f t="shared" si="11"/>
        <v>0</v>
      </c>
      <c r="M11" s="256">
        <f t="shared" si="11"/>
        <v>0</v>
      </c>
      <c r="N11" s="256">
        <f t="shared" si="11"/>
        <v>0</v>
      </c>
      <c r="O11" s="256">
        <f t="shared" si="11"/>
        <v>0</v>
      </c>
      <c r="P11" s="256" t="e">
        <f t="shared" si="11"/>
        <v>#N/A</v>
      </c>
      <c r="Q11" s="256">
        <f t="shared" si="11"/>
        <v>0</v>
      </c>
      <c r="R11" s="249"/>
      <c r="S11" s="254"/>
      <c r="T11" s="249"/>
      <c r="V11" s="251"/>
      <c r="W11" s="251"/>
      <c r="X11" s="251"/>
      <c r="Y11" s="251"/>
    </row>
    <row r="12" spans="1:25" s="248" customFormat="1" ht="13">
      <c r="A12" s="245"/>
      <c r="B12" s="255" t="s">
        <v>542</v>
      </c>
      <c r="C12" s="256"/>
      <c r="E12" s="256">
        <f>-E101</f>
        <v>0</v>
      </c>
      <c r="F12" s="256">
        <f>-F101</f>
        <v>0</v>
      </c>
      <c r="G12" s="256">
        <f t="shared" ref="G12:Q12" si="12">-G101</f>
        <v>0</v>
      </c>
      <c r="H12" s="256">
        <f t="shared" si="12"/>
        <v>0</v>
      </c>
      <c r="I12" s="256">
        <f t="shared" si="12"/>
        <v>0</v>
      </c>
      <c r="J12" s="256">
        <v>-20000</v>
      </c>
      <c r="K12" s="256">
        <f t="shared" si="12"/>
        <v>0</v>
      </c>
      <c r="L12" s="256">
        <f t="shared" si="12"/>
        <v>0</v>
      </c>
      <c r="M12" s="256">
        <f t="shared" si="12"/>
        <v>0</v>
      </c>
      <c r="N12" s="256">
        <f t="shared" si="12"/>
        <v>0</v>
      </c>
      <c r="O12" s="256">
        <f t="shared" si="12"/>
        <v>0</v>
      </c>
      <c r="P12" s="256">
        <f t="shared" si="12"/>
        <v>0</v>
      </c>
      <c r="Q12" s="256">
        <f t="shared" si="12"/>
        <v>0</v>
      </c>
      <c r="R12" s="249"/>
      <c r="S12" s="254"/>
      <c r="T12" s="249"/>
      <c r="V12" s="251"/>
      <c r="W12" s="251"/>
      <c r="X12" s="251"/>
      <c r="Y12" s="251"/>
    </row>
    <row r="13" spans="1:25" s="248" customFormat="1" ht="13.35" thickBot="1">
      <c r="A13" s="245"/>
      <c r="B13" s="261" t="s">
        <v>530</v>
      </c>
      <c r="C13" s="262"/>
      <c r="D13" s="257"/>
      <c r="E13" s="262" t="e">
        <f t="shared" ref="E13" si="13">SUM(E8:E12)</f>
        <v>#N/A</v>
      </c>
      <c r="F13" s="262" t="e">
        <f t="shared" ref="F13:G13" si="14">SUM(F8:F12)</f>
        <v>#N/A</v>
      </c>
      <c r="G13" s="262" t="e">
        <f t="shared" si="14"/>
        <v>#N/A</v>
      </c>
      <c r="H13" s="262" t="e">
        <f>SUM(H8:H12)</f>
        <v>#N/A</v>
      </c>
      <c r="I13" s="262" t="e">
        <f t="shared" ref="I13:Q13" si="15">SUM(I8:I12)</f>
        <v>#N/A</v>
      </c>
      <c r="J13" s="262" t="e">
        <f t="shared" si="15"/>
        <v>#N/A</v>
      </c>
      <c r="K13" s="262" t="e">
        <f t="shared" si="15"/>
        <v>#N/A</v>
      </c>
      <c r="L13" s="262" t="e">
        <f t="shared" si="15"/>
        <v>#N/A</v>
      </c>
      <c r="M13" s="262" t="e">
        <f t="shared" si="15"/>
        <v>#N/A</v>
      </c>
      <c r="N13" s="262" t="e">
        <f t="shared" si="15"/>
        <v>#N/A</v>
      </c>
      <c r="O13" s="262" t="e">
        <f t="shared" si="15"/>
        <v>#N/A</v>
      </c>
      <c r="P13" s="262" t="e">
        <f t="shared" si="15"/>
        <v>#N/A</v>
      </c>
      <c r="Q13" s="262" t="e">
        <f t="shared" si="15"/>
        <v>#N/A</v>
      </c>
      <c r="R13" s="249"/>
      <c r="S13" s="254"/>
      <c r="T13" s="249"/>
      <c r="V13" s="251"/>
      <c r="W13" s="251"/>
      <c r="X13" s="251"/>
      <c r="Y13" s="251"/>
    </row>
    <row r="14" spans="1:25" s="248" customFormat="1" ht="13.35" thickBot="1">
      <c r="A14" s="245"/>
      <c r="B14" s="263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49"/>
      <c r="S14" s="254"/>
      <c r="T14" s="249"/>
      <c r="V14" s="251"/>
      <c r="W14" s="251"/>
      <c r="X14" s="251"/>
      <c r="Y14" s="251"/>
    </row>
    <row r="15" spans="1:25" s="248" customFormat="1" ht="13">
      <c r="A15" s="245"/>
      <c r="B15" s="265" t="s">
        <v>531</v>
      </c>
      <c r="C15" s="266"/>
      <c r="D15" s="257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>
        <v>0</v>
      </c>
      <c r="R15" s="249"/>
      <c r="S15" s="254"/>
      <c r="T15" s="249"/>
      <c r="V15" s="251"/>
      <c r="W15" s="251"/>
      <c r="X15" s="251"/>
      <c r="Y15" s="251"/>
    </row>
    <row r="16" spans="1:25" s="248" customFormat="1" ht="13.35" thickBot="1">
      <c r="A16" s="245"/>
      <c r="B16" s="267" t="s">
        <v>532</v>
      </c>
      <c r="C16" s="268"/>
      <c r="D16" s="257"/>
      <c r="E16" s="268" t="e">
        <f t="shared" ref="E16:G16" si="16">E13+E15</f>
        <v>#N/A</v>
      </c>
      <c r="F16" s="268" t="e">
        <f t="shared" si="16"/>
        <v>#N/A</v>
      </c>
      <c r="G16" s="268" t="e">
        <f t="shared" si="16"/>
        <v>#N/A</v>
      </c>
      <c r="H16" s="268" t="e">
        <f>H13+H15</f>
        <v>#N/A</v>
      </c>
      <c r="I16" s="268" t="e">
        <f t="shared" ref="I16:Q16" si="17">I13+I15</f>
        <v>#N/A</v>
      </c>
      <c r="J16" s="268" t="e">
        <f t="shared" si="17"/>
        <v>#N/A</v>
      </c>
      <c r="K16" s="268" t="e">
        <f t="shared" si="17"/>
        <v>#N/A</v>
      </c>
      <c r="L16" s="268" t="e">
        <f t="shared" si="17"/>
        <v>#N/A</v>
      </c>
      <c r="M16" s="268" t="e">
        <f t="shared" si="17"/>
        <v>#N/A</v>
      </c>
      <c r="N16" s="268" t="e">
        <f t="shared" si="17"/>
        <v>#N/A</v>
      </c>
      <c r="O16" s="268" t="e">
        <f t="shared" si="17"/>
        <v>#N/A</v>
      </c>
      <c r="P16" s="268" t="e">
        <f t="shared" si="17"/>
        <v>#N/A</v>
      </c>
      <c r="Q16" s="268" t="e">
        <f t="shared" si="17"/>
        <v>#N/A</v>
      </c>
      <c r="R16" s="249"/>
      <c r="S16" s="254"/>
      <c r="T16" s="249"/>
      <c r="V16" s="251"/>
      <c r="W16" s="251"/>
      <c r="X16" s="251"/>
      <c r="Y16" s="251"/>
    </row>
    <row r="17" spans="2:19">
      <c r="D17" s="269"/>
    </row>
    <row r="18" spans="2:19">
      <c r="B18" s="272" t="s">
        <v>1</v>
      </c>
      <c r="C18" s="272"/>
      <c r="D18" s="269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</row>
    <row r="19" spans="2:19">
      <c r="B19" s="272" t="s">
        <v>2</v>
      </c>
      <c r="C19" s="274">
        <f>VLOOKUP(B19,'Budget Detail'!$A$16:$F$254,3,FALSE)</f>
        <v>0</v>
      </c>
      <c r="D19" s="269"/>
      <c r="E19" s="292">
        <f>$C$19/6</f>
        <v>0</v>
      </c>
      <c r="F19" s="293"/>
      <c r="G19" s="292">
        <f>$C$19/6</f>
        <v>0</v>
      </c>
      <c r="H19" s="293"/>
      <c r="I19" s="292">
        <f>$C$19/6</f>
        <v>0</v>
      </c>
      <c r="J19" s="293"/>
      <c r="K19" s="292">
        <f>$C$19/6</f>
        <v>0</v>
      </c>
      <c r="L19" s="293"/>
      <c r="M19" s="292">
        <f>$C$19/6</f>
        <v>0</v>
      </c>
      <c r="N19" s="293"/>
      <c r="O19" s="292">
        <f>$C$19/6</f>
        <v>0</v>
      </c>
      <c r="P19" s="293"/>
      <c r="Q19" s="293"/>
    </row>
    <row r="20" spans="2:19">
      <c r="B20" s="272" t="s">
        <v>3</v>
      </c>
      <c r="C20" s="274">
        <f>VLOOKUP(B20,'Budget Detail'!$A$16:$F$254,3,FALSE)</f>
        <v>0</v>
      </c>
      <c r="D20" s="269"/>
      <c r="E20" s="292">
        <f>$C$20/6</f>
        <v>0</v>
      </c>
      <c r="F20" s="293"/>
      <c r="G20" s="292">
        <f>$C$20/6</f>
        <v>0</v>
      </c>
      <c r="H20" s="293"/>
      <c r="I20" s="292">
        <f>$C$20/6</f>
        <v>0</v>
      </c>
      <c r="J20" s="293"/>
      <c r="K20" s="292">
        <f>$C$20/6</f>
        <v>0</v>
      </c>
      <c r="L20" s="293"/>
      <c r="M20" s="292">
        <f>$C$20/6</f>
        <v>0</v>
      </c>
      <c r="N20" s="293"/>
      <c r="O20" s="292">
        <f>$C$20/6</f>
        <v>0</v>
      </c>
      <c r="P20" s="293"/>
      <c r="Q20" s="293"/>
    </row>
    <row r="21" spans="2:19">
      <c r="B21" s="275" t="s">
        <v>219</v>
      </c>
      <c r="C21" s="274">
        <f>VLOOKUP(B21,'Budget Detail'!$A$16:$F$254,3,FALSE)</f>
        <v>0</v>
      </c>
      <c r="D21" s="269"/>
      <c r="E21" s="292">
        <f>$C$21/6</f>
        <v>0</v>
      </c>
      <c r="F21" s="293"/>
      <c r="G21" s="292">
        <f>$C$21/6</f>
        <v>0</v>
      </c>
      <c r="H21" s="293"/>
      <c r="I21" s="292">
        <f>$C$21/6</f>
        <v>0</v>
      </c>
      <c r="J21" s="293"/>
      <c r="K21" s="292">
        <f>$C$21/6</f>
        <v>0</v>
      </c>
      <c r="L21" s="293"/>
      <c r="M21" s="292">
        <f>$C$21/6</f>
        <v>0</v>
      </c>
      <c r="N21" s="293"/>
      <c r="O21" s="292">
        <f>$C$21/6</f>
        <v>0</v>
      </c>
      <c r="P21" s="293"/>
      <c r="Q21" s="293"/>
    </row>
    <row r="22" spans="2:19">
      <c r="B22" s="272" t="s">
        <v>4</v>
      </c>
      <c r="C22" s="274">
        <f>VLOOKUP(B22,'Budget Detail'!$A$16:$F$254,3,FALSE)</f>
        <v>0</v>
      </c>
      <c r="D22" s="269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</row>
    <row r="23" spans="2:19">
      <c r="B23" s="272" t="s">
        <v>5</v>
      </c>
      <c r="C23" s="274">
        <f>VLOOKUP(B23,'Budget Detail'!$A$16:$F$254,3,FALSE)</f>
        <v>0</v>
      </c>
      <c r="D23" s="269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</row>
    <row r="24" spans="2:19">
      <c r="B24" s="272" t="s">
        <v>6</v>
      </c>
      <c r="C24" s="274">
        <f>VLOOKUP(B24,'Budget Detail'!$A$16:$F$254,3,FALSE)</f>
        <v>0</v>
      </c>
      <c r="D24" s="269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</row>
    <row r="25" spans="2:19">
      <c r="B25" s="275" t="s">
        <v>222</v>
      </c>
      <c r="C25" s="274">
        <f>VLOOKUP(B25,'Budget Detail'!$A$16:$F$254,3,FALSE)</f>
        <v>0</v>
      </c>
      <c r="D25" s="269"/>
      <c r="E25" s="293"/>
      <c r="F25" s="293"/>
      <c r="G25" s="293"/>
      <c r="H25" s="292">
        <f t="shared" ref="H25:Q25" si="18">$C25/$S25</f>
        <v>0</v>
      </c>
      <c r="I25" s="292">
        <f t="shared" si="18"/>
        <v>0</v>
      </c>
      <c r="J25" s="292">
        <f t="shared" si="18"/>
        <v>0</v>
      </c>
      <c r="K25" s="292">
        <f t="shared" si="18"/>
        <v>0</v>
      </c>
      <c r="L25" s="292">
        <f t="shared" si="18"/>
        <v>0</v>
      </c>
      <c r="M25" s="292">
        <f t="shared" si="18"/>
        <v>0</v>
      </c>
      <c r="N25" s="292">
        <f t="shared" si="18"/>
        <v>0</v>
      </c>
      <c r="O25" s="292">
        <f t="shared" si="18"/>
        <v>0</v>
      </c>
      <c r="P25" s="292">
        <f t="shared" si="18"/>
        <v>0</v>
      </c>
      <c r="Q25" s="292">
        <f t="shared" si="18"/>
        <v>0</v>
      </c>
      <c r="S25">
        <f>$S$2-2</f>
        <v>10</v>
      </c>
    </row>
    <row r="26" spans="2:19">
      <c r="B26" s="272" t="s">
        <v>221</v>
      </c>
      <c r="C26" s="274">
        <f>VLOOKUP(B26,'Budget Detail'!$A$16:$F$254,3,FALSE)</f>
        <v>0</v>
      </c>
      <c r="D26" s="269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>
        <f>C26</f>
        <v>0</v>
      </c>
    </row>
    <row r="27" spans="2:19">
      <c r="B27" s="272" t="s">
        <v>220</v>
      </c>
      <c r="C27" s="274">
        <f>VLOOKUP(B27,'Budget Detail'!$A$16:$F$254,3,FALSE)</f>
        <v>0</v>
      </c>
      <c r="D27" s="269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>
        <f>C27</f>
        <v>0</v>
      </c>
    </row>
    <row r="28" spans="2:19">
      <c r="B28" s="276" t="s">
        <v>7</v>
      </c>
      <c r="C28" s="277">
        <f>(((((((((C18)+(C19))+(C20))+(C21))+(C22))+(C23))+(C24))+(C25))+(C26))+(C27)</f>
        <v>0</v>
      </c>
      <c r="D28" s="270"/>
      <c r="E28" s="294">
        <f t="shared" ref="E28:Q28" si="19">(((((((((E18)+(E19))+(E20))+(E21))+(E22))+(E23))+(E24))+(E25))+(E26))+(E27)</f>
        <v>0</v>
      </c>
      <c r="F28" s="294">
        <f t="shared" si="19"/>
        <v>0</v>
      </c>
      <c r="G28" s="294">
        <f t="shared" si="19"/>
        <v>0</v>
      </c>
      <c r="H28" s="294">
        <f t="shared" si="19"/>
        <v>0</v>
      </c>
      <c r="I28" s="294">
        <f t="shared" si="19"/>
        <v>0</v>
      </c>
      <c r="J28" s="294">
        <f t="shared" si="19"/>
        <v>0</v>
      </c>
      <c r="K28" s="294">
        <f t="shared" si="19"/>
        <v>0</v>
      </c>
      <c r="L28" s="294">
        <f t="shared" si="19"/>
        <v>0</v>
      </c>
      <c r="M28" s="294">
        <f t="shared" si="19"/>
        <v>0</v>
      </c>
      <c r="N28" s="294">
        <f t="shared" si="19"/>
        <v>0</v>
      </c>
      <c r="O28" s="294">
        <f t="shared" si="19"/>
        <v>0</v>
      </c>
      <c r="P28" s="294">
        <f t="shared" si="19"/>
        <v>0</v>
      </c>
      <c r="Q28" s="294">
        <f t="shared" si="19"/>
        <v>0</v>
      </c>
    </row>
    <row r="29" spans="2:19">
      <c r="B29" s="272" t="s">
        <v>8</v>
      </c>
      <c r="C29" s="274"/>
      <c r="D29" s="269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</row>
    <row r="30" spans="2:19">
      <c r="B30" s="278" t="s">
        <v>9</v>
      </c>
      <c r="C30" s="274">
        <f>VLOOKUP(B30,'Budget Detail'!$A$16:$F$254,3,FALSE)</f>
        <v>0</v>
      </c>
      <c r="D30" s="269"/>
      <c r="E30" s="292"/>
      <c r="F30" s="292"/>
      <c r="G30" s="292"/>
      <c r="H30" s="292"/>
      <c r="I30" s="292"/>
      <c r="J30" s="292"/>
      <c r="K30" s="292">
        <f>C30</f>
        <v>0</v>
      </c>
      <c r="L30" s="292"/>
      <c r="M30" s="292"/>
      <c r="N30" s="292"/>
      <c r="O30" s="292"/>
      <c r="P30" s="292"/>
      <c r="Q30" s="292"/>
    </row>
    <row r="31" spans="2:19">
      <c r="B31" s="278" t="s">
        <v>10</v>
      </c>
      <c r="C31" s="274">
        <f>VLOOKUP(B31,'Budget Detail'!$A$16:$F$254,3,FALSE)</f>
        <v>0</v>
      </c>
      <c r="D31" s="269"/>
      <c r="E31" s="292"/>
      <c r="F31" s="292"/>
      <c r="G31" s="292"/>
      <c r="H31" s="292"/>
      <c r="I31" s="292">
        <f>$C$31*0.2</f>
        <v>0</v>
      </c>
      <c r="J31" s="292"/>
      <c r="K31" s="292">
        <f>$C$31*0.4</f>
        <v>0</v>
      </c>
      <c r="L31" s="292"/>
      <c r="M31" s="292"/>
      <c r="N31" s="292">
        <f>$C$31*0.3</f>
        <v>0</v>
      </c>
      <c r="O31" s="292"/>
      <c r="P31" s="292"/>
      <c r="Q31" s="292">
        <f>$C$31*0.1</f>
        <v>0</v>
      </c>
    </row>
    <row r="32" spans="2:19">
      <c r="B32" s="278" t="s">
        <v>11</v>
      </c>
      <c r="C32" s="274">
        <f>VLOOKUP(B32,'Budget Detail'!$A$16:$F$254,3,FALSE)</f>
        <v>0</v>
      </c>
      <c r="D32" s="269"/>
      <c r="E32" s="292"/>
      <c r="F32" s="292"/>
      <c r="G32" s="292"/>
      <c r="H32" s="292"/>
      <c r="I32" s="292">
        <f>$C$32*0.2</f>
        <v>0</v>
      </c>
      <c r="J32" s="292"/>
      <c r="K32" s="292">
        <f>$C$32*0.4</f>
        <v>0</v>
      </c>
      <c r="L32" s="292"/>
      <c r="M32" s="292"/>
      <c r="N32" s="292">
        <f>$C$32*0.3</f>
        <v>0</v>
      </c>
      <c r="O32" s="292"/>
      <c r="P32" s="292"/>
      <c r="Q32" s="292">
        <f>$C$32*0.1</f>
        <v>0</v>
      </c>
    </row>
    <row r="33" spans="2:19">
      <c r="B33" s="278" t="s">
        <v>395</v>
      </c>
      <c r="C33" s="274">
        <f>VLOOKUP(B33,'Budget Detail'!$A$16:$F$254,3,FALSE)</f>
        <v>0</v>
      </c>
      <c r="D33" s="269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</row>
    <row r="34" spans="2:19">
      <c r="B34" s="278" t="s">
        <v>12</v>
      </c>
      <c r="C34" s="274">
        <f>VLOOKUP(B34,'Budget Detail'!$A$16:$F$254,3,FALSE)</f>
        <v>0</v>
      </c>
      <c r="D34" s="269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>
        <f>C34</f>
        <v>0</v>
      </c>
      <c r="S34">
        <f>$S$2</f>
        <v>12</v>
      </c>
    </row>
    <row r="35" spans="2:19">
      <c r="B35" s="278" t="s">
        <v>393</v>
      </c>
      <c r="C35" s="274">
        <f>VLOOKUP(B35,'Budget Detail'!$A$16:$F$254,3,FALSE)</f>
        <v>0</v>
      </c>
      <c r="D35" s="269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S35">
        <f>$S$2-2</f>
        <v>10</v>
      </c>
    </row>
    <row r="36" spans="2:19">
      <c r="B36" s="278" t="s">
        <v>394</v>
      </c>
      <c r="C36" s="274">
        <f>VLOOKUP(B36,'Budget Detail'!$A$16:$F$254,3,FALSE)</f>
        <v>426169</v>
      </c>
      <c r="D36" s="269"/>
      <c r="E36" s="292"/>
      <c r="F36" s="292"/>
      <c r="G36" s="292"/>
      <c r="H36" s="292"/>
      <c r="I36" s="292">
        <f>$C$36*0.2</f>
        <v>85233.8</v>
      </c>
      <c r="J36" s="292"/>
      <c r="K36" s="292">
        <f>$C$36*0.4</f>
        <v>170467.6</v>
      </c>
      <c r="L36" s="292"/>
      <c r="M36" s="292"/>
      <c r="N36" s="292">
        <f>$C$36*0.3</f>
        <v>127850.7</v>
      </c>
      <c r="O36" s="292"/>
      <c r="P36" s="292"/>
      <c r="Q36" s="292">
        <f>$C$36*0.1</f>
        <v>42616.9</v>
      </c>
    </row>
    <row r="37" spans="2:19">
      <c r="B37" s="276" t="s">
        <v>13</v>
      </c>
      <c r="C37" s="277">
        <f>(((((((C29)+(C30))+(C31))+(C32))+(C33))+(C34))+(C35))+(C36)</f>
        <v>426169</v>
      </c>
      <c r="D37" s="270"/>
      <c r="E37" s="294">
        <f t="shared" ref="E37:Q37" si="20">(((((((E29)+(E30))+(E31))+(E32))+(E33))+(E34))+(E35))+(E36)</f>
        <v>0</v>
      </c>
      <c r="F37" s="294">
        <f t="shared" si="20"/>
        <v>0</v>
      </c>
      <c r="G37" s="294">
        <f t="shared" si="20"/>
        <v>0</v>
      </c>
      <c r="H37" s="294">
        <f t="shared" si="20"/>
        <v>0</v>
      </c>
      <c r="I37" s="294">
        <f t="shared" si="20"/>
        <v>85233.8</v>
      </c>
      <c r="J37" s="294">
        <f t="shared" si="20"/>
        <v>0</v>
      </c>
      <c r="K37" s="294">
        <f t="shared" si="20"/>
        <v>170467.6</v>
      </c>
      <c r="L37" s="294">
        <f t="shared" si="20"/>
        <v>0</v>
      </c>
      <c r="M37" s="294">
        <f t="shared" si="20"/>
        <v>0</v>
      </c>
      <c r="N37" s="294">
        <f t="shared" si="20"/>
        <v>127850.7</v>
      </c>
      <c r="O37" s="294">
        <f t="shared" si="20"/>
        <v>0</v>
      </c>
      <c r="P37" s="294">
        <f t="shared" si="20"/>
        <v>0</v>
      </c>
      <c r="Q37" s="294">
        <f t="shared" si="20"/>
        <v>42616.9</v>
      </c>
    </row>
    <row r="38" spans="2:19">
      <c r="B38" s="272" t="s">
        <v>14</v>
      </c>
      <c r="C38" s="274"/>
      <c r="D38" s="269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</row>
    <row r="39" spans="2:19">
      <c r="B39" s="272" t="s">
        <v>15</v>
      </c>
      <c r="C39" s="274">
        <f>VLOOKUP(B39,'Budget Detail'!$A$16:$F$254,3,FALSE)</f>
        <v>7786</v>
      </c>
      <c r="D39" s="269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>
        <f>C39</f>
        <v>7786</v>
      </c>
    </row>
    <row r="40" spans="2:19">
      <c r="B40" s="278" t="s">
        <v>16</v>
      </c>
      <c r="C40" s="274">
        <f>VLOOKUP(B40,'Budget Detail'!$A$16:$F$254,3,FALSE)</f>
        <v>325000</v>
      </c>
      <c r="D40" s="269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</row>
    <row r="41" spans="2:19">
      <c r="B41" s="276" t="s">
        <v>17</v>
      </c>
      <c r="C41" s="277">
        <f>C39+C40</f>
        <v>332786</v>
      </c>
      <c r="D41" s="270"/>
      <c r="E41" s="294">
        <f t="shared" ref="E41:Q41" si="21">E39+E40</f>
        <v>0</v>
      </c>
      <c r="F41" s="294">
        <f t="shared" si="21"/>
        <v>0</v>
      </c>
      <c r="G41" s="294">
        <f t="shared" si="21"/>
        <v>0</v>
      </c>
      <c r="H41" s="294">
        <f t="shared" si="21"/>
        <v>0</v>
      </c>
      <c r="I41" s="294">
        <f t="shared" si="21"/>
        <v>0</v>
      </c>
      <c r="J41" s="294">
        <f t="shared" si="21"/>
        <v>0</v>
      </c>
      <c r="K41" s="294">
        <f t="shared" si="21"/>
        <v>0</v>
      </c>
      <c r="L41" s="294">
        <f t="shared" si="21"/>
        <v>0</v>
      </c>
      <c r="M41" s="294">
        <f t="shared" si="21"/>
        <v>0</v>
      </c>
      <c r="N41" s="294">
        <f t="shared" si="21"/>
        <v>0</v>
      </c>
      <c r="O41" s="294">
        <f t="shared" si="21"/>
        <v>0</v>
      </c>
      <c r="P41" s="294">
        <f t="shared" si="21"/>
        <v>0</v>
      </c>
      <c r="Q41" s="294">
        <f t="shared" si="21"/>
        <v>7786</v>
      </c>
    </row>
    <row r="42" spans="2:19" hidden="1" outlineLevel="1">
      <c r="B42" s="278" t="s">
        <v>18</v>
      </c>
      <c r="C42" s="279"/>
      <c r="D42" s="269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</row>
    <row r="43" spans="2:19" hidden="1" outlineLevel="1">
      <c r="B43" s="278" t="s">
        <v>19</v>
      </c>
      <c r="C43" s="274">
        <f>VLOOKUP(B43,'Budget Detail'!$A$16:$F$254,3,FALSE)</f>
        <v>0</v>
      </c>
      <c r="D43" s="269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</row>
    <row r="44" spans="2:19" hidden="1" outlineLevel="1">
      <c r="B44" s="280" t="s">
        <v>21</v>
      </c>
      <c r="C44" s="277">
        <f>(C42)+(C43)</f>
        <v>0</v>
      </c>
      <c r="D44" s="270"/>
      <c r="E44" s="294">
        <f t="shared" ref="E44:Q44" si="22">(E42)+(E43)</f>
        <v>0</v>
      </c>
      <c r="F44" s="294">
        <f t="shared" si="22"/>
        <v>0</v>
      </c>
      <c r="G44" s="294">
        <f t="shared" si="22"/>
        <v>0</v>
      </c>
      <c r="H44" s="294">
        <f t="shared" si="22"/>
        <v>0</v>
      </c>
      <c r="I44" s="294">
        <f t="shared" si="22"/>
        <v>0</v>
      </c>
      <c r="J44" s="294">
        <f t="shared" si="22"/>
        <v>0</v>
      </c>
      <c r="K44" s="294">
        <f t="shared" si="22"/>
        <v>0</v>
      </c>
      <c r="L44" s="294">
        <f t="shared" si="22"/>
        <v>0</v>
      </c>
      <c r="M44" s="294">
        <f t="shared" si="22"/>
        <v>0</v>
      </c>
      <c r="N44" s="294">
        <f t="shared" si="22"/>
        <v>0</v>
      </c>
      <c r="O44" s="294">
        <f t="shared" si="22"/>
        <v>0</v>
      </c>
      <c r="P44" s="294">
        <f t="shared" si="22"/>
        <v>0</v>
      </c>
      <c r="Q44" s="294">
        <f t="shared" si="22"/>
        <v>0</v>
      </c>
    </row>
    <row r="45" spans="2:19" hidden="1" outlineLevel="1">
      <c r="B45" s="278" t="s">
        <v>396</v>
      </c>
      <c r="C45" s="279"/>
      <c r="D45" s="269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</row>
    <row r="46" spans="2:19" hidden="1" outlineLevel="1">
      <c r="B46" s="278" t="s">
        <v>20</v>
      </c>
      <c r="C46" s="274">
        <f>VLOOKUP(B46,'Budget Detail'!$A$16:$F$254,3,FALSE)</f>
        <v>0</v>
      </c>
      <c r="D46" s="269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</row>
    <row r="47" spans="2:19" hidden="1" outlineLevel="1">
      <c r="B47" s="280" t="s">
        <v>397</v>
      </c>
      <c r="C47" s="277">
        <f>(C45)+(C46)</f>
        <v>0</v>
      </c>
      <c r="D47" s="270"/>
      <c r="E47" s="294">
        <f t="shared" ref="E47:Q47" si="23">(E45)+(E46)</f>
        <v>0</v>
      </c>
      <c r="F47" s="294">
        <f t="shared" si="23"/>
        <v>0</v>
      </c>
      <c r="G47" s="294">
        <f t="shared" si="23"/>
        <v>0</v>
      </c>
      <c r="H47" s="294">
        <f t="shared" si="23"/>
        <v>0</v>
      </c>
      <c r="I47" s="294">
        <f t="shared" si="23"/>
        <v>0</v>
      </c>
      <c r="J47" s="294">
        <f t="shared" si="23"/>
        <v>0</v>
      </c>
      <c r="K47" s="294">
        <f t="shared" si="23"/>
        <v>0</v>
      </c>
      <c r="L47" s="294">
        <f t="shared" si="23"/>
        <v>0</v>
      </c>
      <c r="M47" s="294">
        <f t="shared" si="23"/>
        <v>0</v>
      </c>
      <c r="N47" s="294">
        <f t="shared" si="23"/>
        <v>0</v>
      </c>
      <c r="O47" s="294">
        <f t="shared" si="23"/>
        <v>0</v>
      </c>
      <c r="P47" s="294">
        <f t="shared" si="23"/>
        <v>0</v>
      </c>
      <c r="Q47" s="294">
        <f t="shared" si="23"/>
        <v>0</v>
      </c>
    </row>
    <row r="48" spans="2:19" hidden="1" outlineLevel="1">
      <c r="B48" s="278" t="s">
        <v>22</v>
      </c>
      <c r="C48" s="279"/>
      <c r="D48" s="269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</row>
    <row r="49" spans="2:19" hidden="1" outlineLevel="1">
      <c r="B49" s="278" t="s">
        <v>23</v>
      </c>
      <c r="C49" s="274">
        <f>VLOOKUP(B49,'Budget Detail'!$A$16:$F$254,3,FALSE)</f>
        <v>1620</v>
      </c>
      <c r="D49" s="269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</row>
    <row r="50" spans="2:19" hidden="1" outlineLevel="1">
      <c r="B50" s="278" t="s">
        <v>24</v>
      </c>
      <c r="C50" s="274">
        <f>VLOOKUP(B50,'Budget Detail'!$A$16:$F$254,3,FALSE)</f>
        <v>0</v>
      </c>
      <c r="D50" s="269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</row>
    <row r="51" spans="2:19" hidden="1" outlineLevel="1">
      <c r="B51" s="278" t="s">
        <v>25</v>
      </c>
      <c r="C51" s="274">
        <f>VLOOKUP(B51,'Budget Detail'!$A$16:$F$254,3,FALSE)</f>
        <v>0</v>
      </c>
      <c r="D51" s="269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</row>
    <row r="52" spans="2:19" hidden="1" outlineLevel="1">
      <c r="B52" s="278" t="s">
        <v>26</v>
      </c>
      <c r="C52" s="274">
        <f>VLOOKUP(B52,'Budget Detail'!$A$16:$F$254,3,FALSE)</f>
        <v>0</v>
      </c>
      <c r="D52" s="269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</row>
    <row r="53" spans="2:19" collapsed="1">
      <c r="B53" s="281" t="s">
        <v>27</v>
      </c>
      <c r="C53" s="282">
        <f>((((C48)+(C49))+(C50))+(C51))+(C52)</f>
        <v>1620</v>
      </c>
      <c r="D53" s="270"/>
      <c r="E53" s="295">
        <f t="shared" ref="E53:Q53" si="24">((((E48)+(E49))+(E50))+(E51))+(E52)</f>
        <v>0</v>
      </c>
      <c r="F53" s="295">
        <f t="shared" si="24"/>
        <v>0</v>
      </c>
      <c r="G53" s="295">
        <f t="shared" si="24"/>
        <v>0</v>
      </c>
      <c r="H53" s="295">
        <f t="shared" si="24"/>
        <v>0</v>
      </c>
      <c r="I53" s="295">
        <f t="shared" si="24"/>
        <v>0</v>
      </c>
      <c r="J53" s="295">
        <f t="shared" si="24"/>
        <v>0</v>
      </c>
      <c r="K53" s="295">
        <f t="shared" si="24"/>
        <v>0</v>
      </c>
      <c r="L53" s="295">
        <f t="shared" si="24"/>
        <v>0</v>
      </c>
      <c r="M53" s="295">
        <f t="shared" si="24"/>
        <v>0</v>
      </c>
      <c r="N53" s="295">
        <f t="shared" si="24"/>
        <v>0</v>
      </c>
      <c r="O53" s="295">
        <f t="shared" si="24"/>
        <v>0</v>
      </c>
      <c r="P53" s="295">
        <f t="shared" si="24"/>
        <v>0</v>
      </c>
      <c r="Q53" s="295">
        <f t="shared" si="24"/>
        <v>0</v>
      </c>
    </row>
    <row r="54" spans="2:19">
      <c r="B54" s="283" t="s">
        <v>28</v>
      </c>
      <c r="C54" s="282">
        <f>(((((C28)+(C37))+(C41))+(C44))+(C47))+(C53)</f>
        <v>760575</v>
      </c>
      <c r="D54" s="270"/>
      <c r="E54" s="295">
        <f>(((((E28)+(E37))+(E41))+(E44))+(E47))+(E53)</f>
        <v>0</v>
      </c>
      <c r="F54" s="295">
        <f t="shared" ref="F54:P54" si="25">(((((F28)+(F37))+(F41))+(F44))+(F47))+(F53)</f>
        <v>0</v>
      </c>
      <c r="G54" s="295">
        <f t="shared" si="25"/>
        <v>0</v>
      </c>
      <c r="H54" s="295">
        <f t="shared" si="25"/>
        <v>0</v>
      </c>
      <c r="I54" s="295">
        <f t="shared" si="25"/>
        <v>85233.8</v>
      </c>
      <c r="J54" s="295">
        <f t="shared" si="25"/>
        <v>0</v>
      </c>
      <c r="K54" s="295">
        <f>(((((K28)+(K37))+(K41))+(K44))+(K47))+(K53)</f>
        <v>170467.6</v>
      </c>
      <c r="L54" s="295">
        <f t="shared" si="25"/>
        <v>0</v>
      </c>
      <c r="M54" s="295">
        <f>(((((M28)+(M37))+(M41))+(M44))+(M47))+(M53)</f>
        <v>0</v>
      </c>
      <c r="N54" s="295">
        <f>(((((N28)+(N37))+(N41))+(N44))+(N47))+(N53)</f>
        <v>127850.7</v>
      </c>
      <c r="O54" s="295">
        <f>(((((O28)+(O37))+(O41))+(O44))+(O47))+(O53)</f>
        <v>0</v>
      </c>
      <c r="P54" s="295">
        <f t="shared" si="25"/>
        <v>0</v>
      </c>
      <c r="Q54" s="295">
        <f>(((((Q28)+(Q37))+(Q41))+(Q44))+(Q47))+(Q53)</f>
        <v>50402.9</v>
      </c>
      <c r="R54" s="225"/>
    </row>
    <row r="55" spans="2:19">
      <c r="B55" s="272" t="s">
        <v>29</v>
      </c>
      <c r="C55" s="284">
        <f>(C54)-(0)</f>
        <v>760575</v>
      </c>
      <c r="D55" s="270"/>
      <c r="E55" s="296">
        <f t="shared" ref="E55:Q55" si="26">(E54)-(0)</f>
        <v>0</v>
      </c>
      <c r="F55" s="296">
        <f t="shared" si="26"/>
        <v>0</v>
      </c>
      <c r="G55" s="296">
        <f t="shared" si="26"/>
        <v>0</v>
      </c>
      <c r="H55" s="296">
        <f t="shared" si="26"/>
        <v>0</v>
      </c>
      <c r="I55" s="296">
        <f t="shared" si="26"/>
        <v>85233.8</v>
      </c>
      <c r="J55" s="296">
        <f t="shared" si="26"/>
        <v>0</v>
      </c>
      <c r="K55" s="296">
        <f t="shared" si="26"/>
        <v>170467.6</v>
      </c>
      <c r="L55" s="296">
        <f t="shared" si="26"/>
        <v>0</v>
      </c>
      <c r="M55" s="296">
        <f t="shared" si="26"/>
        <v>0</v>
      </c>
      <c r="N55" s="296">
        <f t="shared" si="26"/>
        <v>127850.7</v>
      </c>
      <c r="O55" s="296">
        <f t="shared" si="26"/>
        <v>0</v>
      </c>
      <c r="P55" s="296">
        <f t="shared" si="26"/>
        <v>0</v>
      </c>
      <c r="Q55" s="296">
        <f t="shared" si="26"/>
        <v>50402.9</v>
      </c>
    </row>
    <row r="56" spans="2:19">
      <c r="B56" s="272" t="s">
        <v>30</v>
      </c>
      <c r="C56" s="274"/>
      <c r="D56" s="269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</row>
    <row r="57" spans="2:19">
      <c r="B57" s="285" t="s">
        <v>31</v>
      </c>
      <c r="C57" s="274"/>
      <c r="D57" s="269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</row>
    <row r="58" spans="2:19">
      <c r="B58" s="285" t="s">
        <v>398</v>
      </c>
      <c r="C58" s="274"/>
      <c r="D58" s="269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</row>
    <row r="59" spans="2:19">
      <c r="B59" s="285" t="s">
        <v>399</v>
      </c>
      <c r="C59" s="274">
        <f>VLOOKUP(B59,'Budget Detail'!$A$16:$F$254,3,FALSE)</f>
        <v>113769.27</v>
      </c>
      <c r="D59" s="269"/>
      <c r="E59" s="292">
        <f>$C59/$S59</f>
        <v>9480.7725000000009</v>
      </c>
      <c r="F59" s="292">
        <f t="shared" ref="F59:P68" si="27">$C59/$S59</f>
        <v>9480.7725000000009</v>
      </c>
      <c r="G59" s="292">
        <f t="shared" si="27"/>
        <v>9480.7725000000009</v>
      </c>
      <c r="H59" s="292">
        <f t="shared" si="27"/>
        <v>9480.7725000000009</v>
      </c>
      <c r="I59" s="292">
        <f t="shared" si="27"/>
        <v>9480.7725000000009</v>
      </c>
      <c r="J59" s="292">
        <f t="shared" si="27"/>
        <v>9480.7725000000009</v>
      </c>
      <c r="K59" s="292">
        <f t="shared" si="27"/>
        <v>9480.7725000000009</v>
      </c>
      <c r="L59" s="292">
        <f t="shared" si="27"/>
        <v>9480.7725000000009</v>
      </c>
      <c r="M59" s="292">
        <f t="shared" si="27"/>
        <v>9480.7725000000009</v>
      </c>
      <c r="N59" s="292">
        <f t="shared" si="27"/>
        <v>9480.7725000000009</v>
      </c>
      <c r="O59" s="292">
        <f t="shared" si="27"/>
        <v>9480.7725000000009</v>
      </c>
      <c r="P59" s="292">
        <f t="shared" si="27"/>
        <v>9480.7725000000009</v>
      </c>
      <c r="Q59" s="293"/>
      <c r="R59" s="225">
        <f>C59-SUM(E59:Q59)</f>
        <v>0</v>
      </c>
      <c r="S59">
        <f>$S$2</f>
        <v>12</v>
      </c>
    </row>
    <row r="60" spans="2:19">
      <c r="B60" s="285" t="s">
        <v>400</v>
      </c>
      <c r="C60" s="274">
        <f>VLOOKUP(B60,'Budget Detail'!$A$16:$F$254,3,FALSE)</f>
        <v>0</v>
      </c>
      <c r="D60" s="269"/>
      <c r="E60" s="292">
        <f t="shared" ref="E60:E68" si="28">$C60/$S60</f>
        <v>0</v>
      </c>
      <c r="F60" s="292">
        <f t="shared" si="27"/>
        <v>0</v>
      </c>
      <c r="G60" s="292">
        <f t="shared" si="27"/>
        <v>0</v>
      </c>
      <c r="H60" s="292">
        <f t="shared" si="27"/>
        <v>0</v>
      </c>
      <c r="I60" s="292">
        <f t="shared" si="27"/>
        <v>0</v>
      </c>
      <c r="J60" s="292">
        <f t="shared" si="27"/>
        <v>0</v>
      </c>
      <c r="K60" s="292">
        <f t="shared" si="27"/>
        <v>0</v>
      </c>
      <c r="L60" s="292">
        <f t="shared" si="27"/>
        <v>0</v>
      </c>
      <c r="M60" s="292">
        <f t="shared" si="27"/>
        <v>0</v>
      </c>
      <c r="N60" s="292">
        <f t="shared" si="27"/>
        <v>0</v>
      </c>
      <c r="O60" s="292">
        <f t="shared" si="27"/>
        <v>0</v>
      </c>
      <c r="P60" s="292">
        <f t="shared" si="27"/>
        <v>0</v>
      </c>
      <c r="Q60" s="293"/>
      <c r="R60" s="225">
        <f t="shared" ref="R60:R123" si="29">C60-SUM(E60:Q60)</f>
        <v>0</v>
      </c>
      <c r="S60">
        <f t="shared" ref="S60:S123" si="30">$S$2</f>
        <v>12</v>
      </c>
    </row>
    <row r="61" spans="2:19">
      <c r="B61" s="297" t="s">
        <v>537</v>
      </c>
      <c r="C61" s="274">
        <f>VLOOKUP(B61,'Budget Detail'!$A$16:$F$254,3,FALSE)</f>
        <v>0</v>
      </c>
      <c r="D61" s="269"/>
      <c r="E61" s="292">
        <f t="shared" si="28"/>
        <v>0</v>
      </c>
      <c r="F61" s="292">
        <f t="shared" si="27"/>
        <v>0</v>
      </c>
      <c r="G61" s="292">
        <f t="shared" si="27"/>
        <v>0</v>
      </c>
      <c r="H61" s="292">
        <f t="shared" si="27"/>
        <v>0</v>
      </c>
      <c r="I61" s="292">
        <f t="shared" si="27"/>
        <v>0</v>
      </c>
      <c r="J61" s="292">
        <f t="shared" si="27"/>
        <v>0</v>
      </c>
      <c r="K61" s="292">
        <f t="shared" si="27"/>
        <v>0</v>
      </c>
      <c r="L61" s="292">
        <f t="shared" si="27"/>
        <v>0</v>
      </c>
      <c r="M61" s="292">
        <f t="shared" si="27"/>
        <v>0</v>
      </c>
      <c r="N61" s="292">
        <f t="shared" si="27"/>
        <v>0</v>
      </c>
      <c r="O61" s="292">
        <f t="shared" si="27"/>
        <v>0</v>
      </c>
      <c r="P61" s="292">
        <f t="shared" si="27"/>
        <v>0</v>
      </c>
      <c r="Q61" s="293"/>
      <c r="R61" s="225">
        <f t="shared" si="29"/>
        <v>0</v>
      </c>
      <c r="S61">
        <f t="shared" si="30"/>
        <v>12</v>
      </c>
    </row>
    <row r="62" spans="2:19">
      <c r="B62" s="285" t="s">
        <v>401</v>
      </c>
      <c r="C62" s="274">
        <f>VLOOKUP(B62,'Budget Detail'!$A$16:$F$254,3,FALSE)</f>
        <v>0</v>
      </c>
      <c r="D62" s="269"/>
      <c r="E62" s="292">
        <f t="shared" si="28"/>
        <v>0</v>
      </c>
      <c r="F62" s="292">
        <f t="shared" si="27"/>
        <v>0</v>
      </c>
      <c r="G62" s="292">
        <f t="shared" si="27"/>
        <v>0</v>
      </c>
      <c r="H62" s="292">
        <f t="shared" si="27"/>
        <v>0</v>
      </c>
      <c r="I62" s="292">
        <f t="shared" si="27"/>
        <v>0</v>
      </c>
      <c r="J62" s="292">
        <f t="shared" si="27"/>
        <v>0</v>
      </c>
      <c r="K62" s="292">
        <f t="shared" si="27"/>
        <v>0</v>
      </c>
      <c r="L62" s="292">
        <f t="shared" si="27"/>
        <v>0</v>
      </c>
      <c r="M62" s="292">
        <f t="shared" si="27"/>
        <v>0</v>
      </c>
      <c r="N62" s="292">
        <f t="shared" si="27"/>
        <v>0</v>
      </c>
      <c r="O62" s="292">
        <f t="shared" si="27"/>
        <v>0</v>
      </c>
      <c r="P62" s="292">
        <f t="shared" si="27"/>
        <v>0</v>
      </c>
      <c r="Q62" s="293"/>
      <c r="R62" s="225">
        <f t="shared" si="29"/>
        <v>0</v>
      </c>
      <c r="S62">
        <f t="shared" si="30"/>
        <v>12</v>
      </c>
    </row>
    <row r="63" spans="2:19">
      <c r="B63" s="285" t="s">
        <v>402</v>
      </c>
      <c r="C63" s="274">
        <f>VLOOKUP(B63,'Budget Detail'!$A$16:$F$254,3,FALSE)</f>
        <v>20123.73</v>
      </c>
      <c r="D63" s="269"/>
      <c r="E63" s="292">
        <f t="shared" si="28"/>
        <v>1676.9775</v>
      </c>
      <c r="F63" s="292">
        <f t="shared" si="27"/>
        <v>1676.9775</v>
      </c>
      <c r="G63" s="292">
        <f t="shared" si="27"/>
        <v>1676.9775</v>
      </c>
      <c r="H63" s="292">
        <f t="shared" si="27"/>
        <v>1676.9775</v>
      </c>
      <c r="I63" s="292">
        <f t="shared" si="27"/>
        <v>1676.9775</v>
      </c>
      <c r="J63" s="292">
        <f t="shared" si="27"/>
        <v>1676.9775</v>
      </c>
      <c r="K63" s="292">
        <f t="shared" si="27"/>
        <v>1676.9775</v>
      </c>
      <c r="L63" s="292">
        <f t="shared" si="27"/>
        <v>1676.9775</v>
      </c>
      <c r="M63" s="292">
        <f t="shared" si="27"/>
        <v>1676.9775</v>
      </c>
      <c r="N63" s="292">
        <f t="shared" si="27"/>
        <v>1676.9775</v>
      </c>
      <c r="O63" s="292">
        <f t="shared" si="27"/>
        <v>1676.9775</v>
      </c>
      <c r="P63" s="292">
        <f t="shared" si="27"/>
        <v>1676.9775</v>
      </c>
      <c r="Q63" s="293"/>
      <c r="R63" s="225">
        <f t="shared" si="29"/>
        <v>0</v>
      </c>
      <c r="S63">
        <f t="shared" si="30"/>
        <v>12</v>
      </c>
    </row>
    <row r="64" spans="2:19">
      <c r="B64" s="285" t="s">
        <v>403</v>
      </c>
      <c r="C64" s="274">
        <f>VLOOKUP(B64,'Budget Detail'!$A$16:$F$254,3,FALSE)</f>
        <v>0</v>
      </c>
      <c r="D64" s="269"/>
      <c r="E64" s="292">
        <f t="shared" si="28"/>
        <v>0</v>
      </c>
      <c r="F64" s="292">
        <f t="shared" si="27"/>
        <v>0</v>
      </c>
      <c r="G64" s="292">
        <f t="shared" si="27"/>
        <v>0</v>
      </c>
      <c r="H64" s="292">
        <f t="shared" si="27"/>
        <v>0</v>
      </c>
      <c r="I64" s="292">
        <f t="shared" si="27"/>
        <v>0</v>
      </c>
      <c r="J64" s="292">
        <f t="shared" si="27"/>
        <v>0</v>
      </c>
      <c r="K64" s="292">
        <f t="shared" si="27"/>
        <v>0</v>
      </c>
      <c r="L64" s="292">
        <f t="shared" si="27"/>
        <v>0</v>
      </c>
      <c r="M64" s="292">
        <f t="shared" si="27"/>
        <v>0</v>
      </c>
      <c r="N64" s="292">
        <f t="shared" si="27"/>
        <v>0</v>
      </c>
      <c r="O64" s="292">
        <f t="shared" si="27"/>
        <v>0</v>
      </c>
      <c r="P64" s="292">
        <f t="shared" si="27"/>
        <v>0</v>
      </c>
      <c r="Q64" s="293"/>
      <c r="R64" s="225">
        <f t="shared" si="29"/>
        <v>0</v>
      </c>
      <c r="S64">
        <f t="shared" si="30"/>
        <v>12</v>
      </c>
    </row>
    <row r="65" spans="2:19">
      <c r="B65" s="285" t="s">
        <v>404</v>
      </c>
      <c r="C65" s="274">
        <f>VLOOKUP(B65,'Budget Detail'!$A$16:$F$254,3,FALSE)</f>
        <v>13162.66</v>
      </c>
      <c r="D65" s="269"/>
      <c r="E65" s="292">
        <f t="shared" si="28"/>
        <v>1096.8883333333333</v>
      </c>
      <c r="F65" s="292">
        <f t="shared" si="27"/>
        <v>1096.8883333333333</v>
      </c>
      <c r="G65" s="292">
        <f t="shared" si="27"/>
        <v>1096.8883333333333</v>
      </c>
      <c r="H65" s="292">
        <f t="shared" si="27"/>
        <v>1096.8883333333333</v>
      </c>
      <c r="I65" s="292">
        <f t="shared" si="27"/>
        <v>1096.8883333333333</v>
      </c>
      <c r="J65" s="292">
        <f t="shared" si="27"/>
        <v>1096.8883333333333</v>
      </c>
      <c r="K65" s="292">
        <f t="shared" si="27"/>
        <v>1096.8883333333333</v>
      </c>
      <c r="L65" s="292">
        <f t="shared" si="27"/>
        <v>1096.8883333333333</v>
      </c>
      <c r="M65" s="292">
        <f t="shared" si="27"/>
        <v>1096.8883333333333</v>
      </c>
      <c r="N65" s="292">
        <f t="shared" si="27"/>
        <v>1096.8883333333333</v>
      </c>
      <c r="O65" s="292">
        <f t="shared" si="27"/>
        <v>1096.8883333333333</v>
      </c>
      <c r="P65" s="292">
        <f t="shared" si="27"/>
        <v>1096.8883333333333</v>
      </c>
      <c r="Q65" s="293"/>
      <c r="R65" s="225">
        <f t="shared" si="29"/>
        <v>0</v>
      </c>
      <c r="S65">
        <f t="shared" si="30"/>
        <v>12</v>
      </c>
    </row>
    <row r="66" spans="2:19">
      <c r="B66" s="285" t="s">
        <v>405</v>
      </c>
      <c r="C66" s="274">
        <f>VLOOKUP(B66,'Budget Detail'!$A$16:$F$254,3,FALSE)</f>
        <v>0</v>
      </c>
      <c r="D66" s="269"/>
      <c r="E66" s="292">
        <f t="shared" si="28"/>
        <v>0</v>
      </c>
      <c r="F66" s="292">
        <f t="shared" si="27"/>
        <v>0</v>
      </c>
      <c r="G66" s="292">
        <f t="shared" si="27"/>
        <v>0</v>
      </c>
      <c r="H66" s="292">
        <f t="shared" si="27"/>
        <v>0</v>
      </c>
      <c r="I66" s="292">
        <f t="shared" si="27"/>
        <v>0</v>
      </c>
      <c r="J66" s="292">
        <f t="shared" si="27"/>
        <v>0</v>
      </c>
      <c r="K66" s="292">
        <f t="shared" si="27"/>
        <v>0</v>
      </c>
      <c r="L66" s="292">
        <f t="shared" si="27"/>
        <v>0</v>
      </c>
      <c r="M66" s="292">
        <f t="shared" si="27"/>
        <v>0</v>
      </c>
      <c r="N66" s="292">
        <f t="shared" si="27"/>
        <v>0</v>
      </c>
      <c r="O66" s="292">
        <f t="shared" si="27"/>
        <v>0</v>
      </c>
      <c r="P66" s="292">
        <f t="shared" si="27"/>
        <v>0</v>
      </c>
      <c r="Q66" s="293"/>
      <c r="R66" s="225">
        <f t="shared" si="29"/>
        <v>0</v>
      </c>
      <c r="S66">
        <f t="shared" si="30"/>
        <v>12</v>
      </c>
    </row>
    <row r="67" spans="2:19">
      <c r="B67" s="285" t="s">
        <v>406</v>
      </c>
      <c r="C67" s="274">
        <f>VLOOKUP(B67,'Budget Detail'!$A$16:$F$254,3,FALSE)</f>
        <v>0</v>
      </c>
      <c r="D67" s="269"/>
      <c r="E67" s="292">
        <f t="shared" si="28"/>
        <v>0</v>
      </c>
      <c r="F67" s="292">
        <f t="shared" si="27"/>
        <v>0</v>
      </c>
      <c r="G67" s="292">
        <f t="shared" si="27"/>
        <v>0</v>
      </c>
      <c r="H67" s="292">
        <f t="shared" si="27"/>
        <v>0</v>
      </c>
      <c r="I67" s="292">
        <f t="shared" si="27"/>
        <v>0</v>
      </c>
      <c r="J67" s="292">
        <f t="shared" si="27"/>
        <v>0</v>
      </c>
      <c r="K67" s="292">
        <f t="shared" si="27"/>
        <v>0</v>
      </c>
      <c r="L67" s="292">
        <f t="shared" si="27"/>
        <v>0</v>
      </c>
      <c r="M67" s="292">
        <f t="shared" si="27"/>
        <v>0</v>
      </c>
      <c r="N67" s="292">
        <f t="shared" si="27"/>
        <v>0</v>
      </c>
      <c r="O67" s="292">
        <f t="shared" si="27"/>
        <v>0</v>
      </c>
      <c r="P67" s="292">
        <f t="shared" si="27"/>
        <v>0</v>
      </c>
      <c r="Q67" s="293"/>
      <c r="R67" s="225">
        <f t="shared" si="29"/>
        <v>0</v>
      </c>
      <c r="S67">
        <f t="shared" si="30"/>
        <v>12</v>
      </c>
    </row>
    <row r="68" spans="2:19">
      <c r="B68" s="285" t="s">
        <v>407</v>
      </c>
      <c r="C68" s="274">
        <f>VLOOKUP(B68,'Budget Detail'!$A$16:$F$254,3,FALSE)</f>
        <v>0</v>
      </c>
      <c r="D68" s="269"/>
      <c r="E68" s="292">
        <f t="shared" si="28"/>
        <v>0</v>
      </c>
      <c r="F68" s="292">
        <f t="shared" si="27"/>
        <v>0</v>
      </c>
      <c r="G68" s="292">
        <f t="shared" si="27"/>
        <v>0</v>
      </c>
      <c r="H68" s="292">
        <f t="shared" si="27"/>
        <v>0</v>
      </c>
      <c r="I68" s="292">
        <f t="shared" si="27"/>
        <v>0</v>
      </c>
      <c r="J68" s="292">
        <f t="shared" si="27"/>
        <v>0</v>
      </c>
      <c r="K68" s="292">
        <f t="shared" si="27"/>
        <v>0</v>
      </c>
      <c r="L68" s="292">
        <f t="shared" si="27"/>
        <v>0</v>
      </c>
      <c r="M68" s="292">
        <f t="shared" si="27"/>
        <v>0</v>
      </c>
      <c r="N68" s="292">
        <f t="shared" si="27"/>
        <v>0</v>
      </c>
      <c r="O68" s="292">
        <f t="shared" si="27"/>
        <v>0</v>
      </c>
      <c r="P68" s="292">
        <f t="shared" si="27"/>
        <v>0</v>
      </c>
      <c r="Q68" s="293"/>
      <c r="R68" s="225">
        <f t="shared" si="29"/>
        <v>0</v>
      </c>
      <c r="S68">
        <f t="shared" si="30"/>
        <v>12</v>
      </c>
    </row>
    <row r="69" spans="2:19">
      <c r="B69" s="286" t="s">
        <v>408</v>
      </c>
      <c r="C69" s="277">
        <f>((((((((((C58)+(C59))+(C60))+(C61))+(C62))+(C63))+(C64))+(C65))+(C66))+(C67))+(C68)</f>
        <v>147055.66</v>
      </c>
      <c r="D69" s="270"/>
      <c r="E69" s="294">
        <f t="shared" ref="E69:Q69" si="31">((((((((((E58)+(E59))+(E60))+(E61))+(E62))+(E63))+(E64))+(E65))+(E66))+(E67))+(E68)</f>
        <v>12254.638333333332</v>
      </c>
      <c r="F69" s="294">
        <f t="shared" si="31"/>
        <v>12254.638333333332</v>
      </c>
      <c r="G69" s="294">
        <f t="shared" si="31"/>
        <v>12254.638333333332</v>
      </c>
      <c r="H69" s="294">
        <f t="shared" si="31"/>
        <v>12254.638333333332</v>
      </c>
      <c r="I69" s="294">
        <f t="shared" si="31"/>
        <v>12254.638333333332</v>
      </c>
      <c r="J69" s="294">
        <f t="shared" si="31"/>
        <v>12254.638333333332</v>
      </c>
      <c r="K69" s="294">
        <f t="shared" si="31"/>
        <v>12254.638333333332</v>
      </c>
      <c r="L69" s="294">
        <f t="shared" si="31"/>
        <v>12254.638333333332</v>
      </c>
      <c r="M69" s="294">
        <f t="shared" si="31"/>
        <v>12254.638333333332</v>
      </c>
      <c r="N69" s="294">
        <f t="shared" si="31"/>
        <v>12254.638333333332</v>
      </c>
      <c r="O69" s="294">
        <f t="shared" si="31"/>
        <v>12254.638333333332</v>
      </c>
      <c r="P69" s="294">
        <f t="shared" si="31"/>
        <v>12254.638333333332</v>
      </c>
      <c r="Q69" s="294">
        <f t="shared" si="31"/>
        <v>0</v>
      </c>
      <c r="R69" s="225">
        <f t="shared" si="29"/>
        <v>0</v>
      </c>
      <c r="S69">
        <f t="shared" si="30"/>
        <v>12</v>
      </c>
    </row>
    <row r="70" spans="2:19">
      <c r="B70" s="285" t="s">
        <v>409</v>
      </c>
      <c r="C70" s="274"/>
      <c r="D70" s="269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25">
        <f t="shared" si="29"/>
        <v>0</v>
      </c>
      <c r="S70">
        <f t="shared" si="30"/>
        <v>12</v>
      </c>
    </row>
    <row r="71" spans="2:19">
      <c r="B71" s="285" t="s">
        <v>410</v>
      </c>
      <c r="C71" s="274" t="e">
        <f>VLOOKUP(B71,'Budget Detail'!$A$16:$F$254,3,FALSE)</f>
        <v>#N/A</v>
      </c>
      <c r="D71" s="269"/>
      <c r="E71" s="293"/>
      <c r="F71" s="292" t="e">
        <f>$C71/$S71</f>
        <v>#N/A</v>
      </c>
      <c r="G71" s="292" t="e">
        <f t="shared" ref="G71:Q75" si="32">$C71/$S71</f>
        <v>#N/A</v>
      </c>
      <c r="H71" s="292" t="e">
        <f t="shared" si="32"/>
        <v>#N/A</v>
      </c>
      <c r="I71" s="292" t="e">
        <f t="shared" si="32"/>
        <v>#N/A</v>
      </c>
      <c r="J71" s="292" t="e">
        <f t="shared" si="32"/>
        <v>#N/A</v>
      </c>
      <c r="K71" s="292" t="e">
        <f t="shared" si="32"/>
        <v>#N/A</v>
      </c>
      <c r="L71" s="292" t="e">
        <f t="shared" si="32"/>
        <v>#N/A</v>
      </c>
      <c r="M71" s="292" t="e">
        <f t="shared" si="32"/>
        <v>#N/A</v>
      </c>
      <c r="N71" s="292" t="e">
        <f t="shared" si="32"/>
        <v>#N/A</v>
      </c>
      <c r="O71" s="292" t="e">
        <f t="shared" si="32"/>
        <v>#N/A</v>
      </c>
      <c r="P71" s="292" t="e">
        <f t="shared" si="32"/>
        <v>#N/A</v>
      </c>
      <c r="Q71" s="292" t="e">
        <f t="shared" si="32"/>
        <v>#N/A</v>
      </c>
      <c r="R71" s="225" t="e">
        <f t="shared" si="29"/>
        <v>#N/A</v>
      </c>
      <c r="S71">
        <f t="shared" si="30"/>
        <v>12</v>
      </c>
    </row>
    <row r="72" spans="2:19">
      <c r="B72" s="285" t="s">
        <v>411</v>
      </c>
      <c r="C72" s="274">
        <f>VLOOKUP(B72,'Budget Detail'!$A$16:$F$254,3,FALSE)</f>
        <v>0</v>
      </c>
      <c r="D72" s="269"/>
      <c r="E72" s="293"/>
      <c r="F72" s="292">
        <f t="shared" ref="F72:F75" si="33">$C72/$S72</f>
        <v>0</v>
      </c>
      <c r="G72" s="292">
        <f t="shared" si="32"/>
        <v>0</v>
      </c>
      <c r="H72" s="292">
        <f t="shared" si="32"/>
        <v>0</v>
      </c>
      <c r="I72" s="292">
        <f t="shared" si="32"/>
        <v>0</v>
      </c>
      <c r="J72" s="292">
        <f t="shared" si="32"/>
        <v>0</v>
      </c>
      <c r="K72" s="292">
        <f t="shared" si="32"/>
        <v>0</v>
      </c>
      <c r="L72" s="292">
        <f t="shared" si="32"/>
        <v>0</v>
      </c>
      <c r="M72" s="292">
        <f t="shared" si="32"/>
        <v>0</v>
      </c>
      <c r="N72" s="292">
        <f t="shared" si="32"/>
        <v>0</v>
      </c>
      <c r="O72" s="292">
        <f t="shared" si="32"/>
        <v>0</v>
      </c>
      <c r="P72" s="292">
        <f t="shared" si="32"/>
        <v>0</v>
      </c>
      <c r="Q72" s="292">
        <f t="shared" si="32"/>
        <v>0</v>
      </c>
      <c r="R72" s="225">
        <f t="shared" si="29"/>
        <v>0</v>
      </c>
      <c r="S72">
        <f t="shared" si="30"/>
        <v>12</v>
      </c>
    </row>
    <row r="73" spans="2:19">
      <c r="B73" s="285" t="s">
        <v>418</v>
      </c>
      <c r="C73" s="274">
        <f>VLOOKUP(B73,'Budget Detail'!$A$16:$F$254,3,FALSE)</f>
        <v>0</v>
      </c>
      <c r="D73" s="269"/>
      <c r="E73" s="293"/>
      <c r="F73" s="292">
        <f t="shared" si="33"/>
        <v>0</v>
      </c>
      <c r="G73" s="292">
        <f t="shared" si="32"/>
        <v>0</v>
      </c>
      <c r="H73" s="292">
        <f t="shared" si="32"/>
        <v>0</v>
      </c>
      <c r="I73" s="292">
        <f t="shared" si="32"/>
        <v>0</v>
      </c>
      <c r="J73" s="292">
        <f t="shared" si="32"/>
        <v>0</v>
      </c>
      <c r="K73" s="292">
        <f t="shared" si="32"/>
        <v>0</v>
      </c>
      <c r="L73" s="292">
        <f t="shared" si="32"/>
        <v>0</v>
      </c>
      <c r="M73" s="292">
        <f t="shared" si="32"/>
        <v>0</v>
      </c>
      <c r="N73" s="292">
        <f t="shared" si="32"/>
        <v>0</v>
      </c>
      <c r="O73" s="292">
        <f t="shared" si="32"/>
        <v>0</v>
      </c>
      <c r="P73" s="292">
        <f t="shared" si="32"/>
        <v>0</v>
      </c>
      <c r="Q73" s="292">
        <f t="shared" si="32"/>
        <v>0</v>
      </c>
      <c r="R73" s="225">
        <f t="shared" si="29"/>
        <v>0</v>
      </c>
      <c r="S73">
        <f t="shared" si="30"/>
        <v>12</v>
      </c>
    </row>
    <row r="74" spans="2:19">
      <c r="B74" s="285" t="s">
        <v>412</v>
      </c>
      <c r="C74" s="274">
        <f>VLOOKUP(B74,'Budget Detail'!$A$16:$F$254,3,FALSE)</f>
        <v>0</v>
      </c>
      <c r="D74" s="269"/>
      <c r="E74" s="293"/>
      <c r="F74" s="292">
        <f t="shared" si="33"/>
        <v>0</v>
      </c>
      <c r="G74" s="292">
        <f t="shared" si="32"/>
        <v>0</v>
      </c>
      <c r="H74" s="292">
        <f t="shared" si="32"/>
        <v>0</v>
      </c>
      <c r="I74" s="292">
        <f t="shared" si="32"/>
        <v>0</v>
      </c>
      <c r="J74" s="292">
        <f t="shared" si="32"/>
        <v>0</v>
      </c>
      <c r="K74" s="292">
        <f t="shared" si="32"/>
        <v>0</v>
      </c>
      <c r="L74" s="292">
        <f t="shared" si="32"/>
        <v>0</v>
      </c>
      <c r="M74" s="292">
        <f t="shared" si="32"/>
        <v>0</v>
      </c>
      <c r="N74" s="292">
        <f t="shared" si="32"/>
        <v>0</v>
      </c>
      <c r="O74" s="292">
        <f t="shared" si="32"/>
        <v>0</v>
      </c>
      <c r="P74" s="292">
        <f t="shared" si="32"/>
        <v>0</v>
      </c>
      <c r="Q74" s="292">
        <f t="shared" si="32"/>
        <v>0</v>
      </c>
      <c r="R74" s="225">
        <f t="shared" si="29"/>
        <v>0</v>
      </c>
      <c r="S74">
        <f t="shared" si="30"/>
        <v>12</v>
      </c>
    </row>
    <row r="75" spans="2:19">
      <c r="B75" s="285" t="s">
        <v>413</v>
      </c>
      <c r="C75" s="274">
        <f>VLOOKUP(B75,'Budget Detail'!$A$16:$F$254,3,FALSE)</f>
        <v>0</v>
      </c>
      <c r="D75" s="269"/>
      <c r="E75" s="293"/>
      <c r="F75" s="292">
        <f t="shared" si="33"/>
        <v>0</v>
      </c>
      <c r="G75" s="292">
        <f t="shared" si="32"/>
        <v>0</v>
      </c>
      <c r="H75" s="292">
        <f t="shared" si="32"/>
        <v>0</v>
      </c>
      <c r="I75" s="292">
        <f t="shared" si="32"/>
        <v>0</v>
      </c>
      <c r="J75" s="292">
        <f t="shared" si="32"/>
        <v>0</v>
      </c>
      <c r="K75" s="292">
        <f t="shared" si="32"/>
        <v>0</v>
      </c>
      <c r="L75" s="292">
        <f t="shared" si="32"/>
        <v>0</v>
      </c>
      <c r="M75" s="292">
        <f t="shared" si="32"/>
        <v>0</v>
      </c>
      <c r="N75" s="292">
        <f t="shared" si="32"/>
        <v>0</v>
      </c>
      <c r="O75" s="292">
        <f t="shared" si="32"/>
        <v>0</v>
      </c>
      <c r="P75" s="292">
        <f t="shared" si="32"/>
        <v>0</v>
      </c>
      <c r="Q75" s="292">
        <f t="shared" si="32"/>
        <v>0</v>
      </c>
      <c r="R75" s="225">
        <f t="shared" si="29"/>
        <v>0</v>
      </c>
      <c r="S75">
        <f t="shared" si="30"/>
        <v>12</v>
      </c>
    </row>
    <row r="76" spans="2:19">
      <c r="B76" s="286" t="s">
        <v>414</v>
      </c>
      <c r="C76" s="277" t="e">
        <f>(((((C70)+(C71))+(C72))+(C73))+(C74))+(C75)</f>
        <v>#N/A</v>
      </c>
      <c r="D76" s="270"/>
      <c r="E76" s="294">
        <f t="shared" ref="E76:Q76" si="34">(((((E70)+(E71))+(E72))+(E73))+(E74))+(E75)</f>
        <v>0</v>
      </c>
      <c r="F76" s="294" t="e">
        <f t="shared" si="34"/>
        <v>#N/A</v>
      </c>
      <c r="G76" s="294" t="e">
        <f t="shared" si="34"/>
        <v>#N/A</v>
      </c>
      <c r="H76" s="294" t="e">
        <f t="shared" si="34"/>
        <v>#N/A</v>
      </c>
      <c r="I76" s="294" t="e">
        <f t="shared" si="34"/>
        <v>#N/A</v>
      </c>
      <c r="J76" s="294" t="e">
        <f t="shared" si="34"/>
        <v>#N/A</v>
      </c>
      <c r="K76" s="294" t="e">
        <f t="shared" si="34"/>
        <v>#N/A</v>
      </c>
      <c r="L76" s="294" t="e">
        <f t="shared" si="34"/>
        <v>#N/A</v>
      </c>
      <c r="M76" s="294" t="e">
        <f t="shared" si="34"/>
        <v>#N/A</v>
      </c>
      <c r="N76" s="294" t="e">
        <f t="shared" si="34"/>
        <v>#N/A</v>
      </c>
      <c r="O76" s="294" t="e">
        <f t="shared" si="34"/>
        <v>#N/A</v>
      </c>
      <c r="P76" s="294" t="e">
        <f t="shared" si="34"/>
        <v>#N/A</v>
      </c>
      <c r="Q76" s="294" t="e">
        <f t="shared" si="34"/>
        <v>#N/A</v>
      </c>
      <c r="R76" s="225" t="e">
        <f t="shared" si="29"/>
        <v>#N/A</v>
      </c>
      <c r="S76">
        <f t="shared" si="30"/>
        <v>12</v>
      </c>
    </row>
    <row r="77" spans="2:19">
      <c r="B77" s="285" t="s">
        <v>415</v>
      </c>
      <c r="C77" s="274"/>
      <c r="D77" s="269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25">
        <f t="shared" si="29"/>
        <v>0</v>
      </c>
      <c r="S77">
        <f t="shared" si="30"/>
        <v>12</v>
      </c>
    </row>
    <row r="78" spans="2:19">
      <c r="B78" s="285" t="s">
        <v>416</v>
      </c>
      <c r="C78" s="274">
        <f>VLOOKUP(B78,'Budget Detail'!$A$16:$F$254,3,FALSE)</f>
        <v>0</v>
      </c>
      <c r="D78" s="269"/>
      <c r="E78" s="293"/>
      <c r="F78" s="293"/>
      <c r="G78" s="292">
        <f t="shared" ref="G78:P78" si="35">$C78/$S78</f>
        <v>0</v>
      </c>
      <c r="H78" s="292">
        <f t="shared" si="35"/>
        <v>0</v>
      </c>
      <c r="I78" s="292">
        <f t="shared" si="35"/>
        <v>0</v>
      </c>
      <c r="J78" s="292">
        <f t="shared" si="35"/>
        <v>0</v>
      </c>
      <c r="K78" s="292">
        <f t="shared" si="35"/>
        <v>0</v>
      </c>
      <c r="L78" s="292">
        <f t="shared" si="35"/>
        <v>0</v>
      </c>
      <c r="M78" s="292">
        <f t="shared" si="35"/>
        <v>0</v>
      </c>
      <c r="N78" s="292">
        <f t="shared" si="35"/>
        <v>0</v>
      </c>
      <c r="O78" s="292">
        <f t="shared" si="35"/>
        <v>0</v>
      </c>
      <c r="P78" s="292">
        <f t="shared" si="35"/>
        <v>0</v>
      </c>
      <c r="Q78" s="293"/>
      <c r="R78" s="225">
        <f t="shared" si="29"/>
        <v>0</v>
      </c>
      <c r="S78">
        <f>$S$2-2</f>
        <v>10</v>
      </c>
    </row>
    <row r="79" spans="2:19">
      <c r="B79" s="298"/>
      <c r="C79" s="299"/>
      <c r="D79" s="269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25">
        <f t="shared" si="29"/>
        <v>0</v>
      </c>
      <c r="S79">
        <f t="shared" si="30"/>
        <v>12</v>
      </c>
    </row>
    <row r="80" spans="2:19">
      <c r="B80" s="286" t="s">
        <v>417</v>
      </c>
      <c r="C80" s="277">
        <f>(C77)+(C78)+C79</f>
        <v>0</v>
      </c>
      <c r="D80" s="270"/>
      <c r="E80" s="294">
        <f t="shared" ref="E80:Q80" si="36">(E77)+(E78)+E79</f>
        <v>0</v>
      </c>
      <c r="F80" s="294">
        <f t="shared" si="36"/>
        <v>0</v>
      </c>
      <c r="G80" s="294">
        <f t="shared" si="36"/>
        <v>0</v>
      </c>
      <c r="H80" s="294">
        <f t="shared" si="36"/>
        <v>0</v>
      </c>
      <c r="I80" s="294">
        <f t="shared" si="36"/>
        <v>0</v>
      </c>
      <c r="J80" s="294">
        <f t="shared" si="36"/>
        <v>0</v>
      </c>
      <c r="K80" s="294">
        <f t="shared" si="36"/>
        <v>0</v>
      </c>
      <c r="L80" s="294">
        <f t="shared" si="36"/>
        <v>0</v>
      </c>
      <c r="M80" s="294">
        <f t="shared" si="36"/>
        <v>0</v>
      </c>
      <c r="N80" s="294">
        <f t="shared" si="36"/>
        <v>0</v>
      </c>
      <c r="O80" s="294">
        <f t="shared" si="36"/>
        <v>0</v>
      </c>
      <c r="P80" s="294">
        <f t="shared" si="36"/>
        <v>0</v>
      </c>
      <c r="Q80" s="294">
        <f t="shared" si="36"/>
        <v>0</v>
      </c>
      <c r="R80" s="225">
        <f t="shared" si="29"/>
        <v>0</v>
      </c>
      <c r="S80">
        <f t="shared" si="30"/>
        <v>12</v>
      </c>
    </row>
    <row r="81" spans="2:19">
      <c r="B81" s="278" t="s">
        <v>419</v>
      </c>
      <c r="C81" s="274"/>
      <c r="D81" s="269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25">
        <f t="shared" si="29"/>
        <v>0</v>
      </c>
      <c r="S81">
        <f t="shared" si="30"/>
        <v>12</v>
      </c>
    </row>
    <row r="82" spans="2:19">
      <c r="B82" s="278" t="s">
        <v>420</v>
      </c>
      <c r="C82" s="274"/>
      <c r="D82" s="269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25">
        <f t="shared" si="29"/>
        <v>0</v>
      </c>
      <c r="S82">
        <f t="shared" si="30"/>
        <v>12</v>
      </c>
    </row>
    <row r="83" spans="2:19">
      <c r="B83" s="278" t="s">
        <v>421</v>
      </c>
      <c r="C83" s="274">
        <f>VLOOKUP(B83,'Budget Detail'!$A$16:$F$254,3,FALSE)</f>
        <v>2163.75</v>
      </c>
      <c r="D83" s="269"/>
      <c r="E83" s="292">
        <f>SUM(E69,E76,E80)*0.01</f>
        <v>122.54638333333332</v>
      </c>
      <c r="F83" s="292" t="e">
        <f t="shared" ref="F83:Q83" si="37">SUM(F69,F76,F80)*0.01</f>
        <v>#N/A</v>
      </c>
      <c r="G83" s="292" t="e">
        <f t="shared" si="37"/>
        <v>#N/A</v>
      </c>
      <c r="H83" s="292" t="e">
        <f t="shared" si="37"/>
        <v>#N/A</v>
      </c>
      <c r="I83" s="292" t="e">
        <f t="shared" si="37"/>
        <v>#N/A</v>
      </c>
      <c r="J83" s="292" t="e">
        <f t="shared" si="37"/>
        <v>#N/A</v>
      </c>
      <c r="K83" s="292" t="e">
        <f t="shared" si="37"/>
        <v>#N/A</v>
      </c>
      <c r="L83" s="292" t="e">
        <f t="shared" si="37"/>
        <v>#N/A</v>
      </c>
      <c r="M83" s="292" t="e">
        <f t="shared" si="37"/>
        <v>#N/A</v>
      </c>
      <c r="N83" s="292" t="e">
        <f t="shared" si="37"/>
        <v>#N/A</v>
      </c>
      <c r="O83" s="292" t="e">
        <f t="shared" si="37"/>
        <v>#N/A</v>
      </c>
      <c r="P83" s="292" t="e">
        <f t="shared" si="37"/>
        <v>#N/A</v>
      </c>
      <c r="Q83" s="292" t="e">
        <f t="shared" si="37"/>
        <v>#N/A</v>
      </c>
      <c r="R83" s="225" t="e">
        <f t="shared" si="29"/>
        <v>#N/A</v>
      </c>
      <c r="S83">
        <f t="shared" si="30"/>
        <v>12</v>
      </c>
    </row>
    <row r="84" spans="2:19">
      <c r="B84" s="278" t="s">
        <v>422</v>
      </c>
      <c r="C84" s="274">
        <f>VLOOKUP(B84,'Budget Detail'!$A$16:$F$254,3,FALSE)</f>
        <v>9239.2199999999993</v>
      </c>
      <c r="D84" s="269"/>
      <c r="E84" s="292">
        <f>SUM(E69,E76,E80)*0.062</f>
        <v>759.78757666666661</v>
      </c>
      <c r="F84" s="292" t="e">
        <f t="shared" ref="F84:Q84" si="38">SUM(F69,F76,F80)*0.062</f>
        <v>#N/A</v>
      </c>
      <c r="G84" s="292" t="e">
        <f t="shared" si="38"/>
        <v>#N/A</v>
      </c>
      <c r="H84" s="292" t="e">
        <f t="shared" si="38"/>
        <v>#N/A</v>
      </c>
      <c r="I84" s="292" t="e">
        <f t="shared" si="38"/>
        <v>#N/A</v>
      </c>
      <c r="J84" s="292" t="e">
        <f t="shared" si="38"/>
        <v>#N/A</v>
      </c>
      <c r="K84" s="292" t="e">
        <f t="shared" si="38"/>
        <v>#N/A</v>
      </c>
      <c r="L84" s="292" t="e">
        <f t="shared" si="38"/>
        <v>#N/A</v>
      </c>
      <c r="M84" s="292" t="e">
        <f t="shared" si="38"/>
        <v>#N/A</v>
      </c>
      <c r="N84" s="292" t="e">
        <f t="shared" si="38"/>
        <v>#N/A</v>
      </c>
      <c r="O84" s="292" t="e">
        <f t="shared" si="38"/>
        <v>#N/A</v>
      </c>
      <c r="P84" s="292" t="e">
        <f t="shared" si="38"/>
        <v>#N/A</v>
      </c>
      <c r="Q84" s="292" t="e">
        <f t="shared" si="38"/>
        <v>#N/A</v>
      </c>
      <c r="R84" s="225" t="e">
        <f t="shared" si="29"/>
        <v>#N/A</v>
      </c>
      <c r="S84">
        <f t="shared" si="30"/>
        <v>12</v>
      </c>
    </row>
    <row r="85" spans="2:19">
      <c r="B85" s="278" t="s">
        <v>423</v>
      </c>
      <c r="C85" s="274">
        <f>VLOOKUP(B85,'Budget Detail'!$A$16:$F$254,3,FALSE)</f>
        <v>2160.75</v>
      </c>
      <c r="D85" s="269"/>
      <c r="E85" s="292">
        <f>SUM(E69,E76,E80)*0.0145</f>
        <v>177.69225583333332</v>
      </c>
      <c r="F85" s="292" t="e">
        <f t="shared" ref="F85:Q85" si="39">SUM(F69,F76,F80)*0.0145</f>
        <v>#N/A</v>
      </c>
      <c r="G85" s="292" t="e">
        <f t="shared" si="39"/>
        <v>#N/A</v>
      </c>
      <c r="H85" s="292" t="e">
        <f t="shared" si="39"/>
        <v>#N/A</v>
      </c>
      <c r="I85" s="292" t="e">
        <f t="shared" si="39"/>
        <v>#N/A</v>
      </c>
      <c r="J85" s="292" t="e">
        <f t="shared" si="39"/>
        <v>#N/A</v>
      </c>
      <c r="K85" s="292" t="e">
        <f t="shared" si="39"/>
        <v>#N/A</v>
      </c>
      <c r="L85" s="292" t="e">
        <f t="shared" si="39"/>
        <v>#N/A</v>
      </c>
      <c r="M85" s="292" t="e">
        <f t="shared" si="39"/>
        <v>#N/A</v>
      </c>
      <c r="N85" s="292" t="e">
        <f t="shared" si="39"/>
        <v>#N/A</v>
      </c>
      <c r="O85" s="292" t="e">
        <f t="shared" si="39"/>
        <v>#N/A</v>
      </c>
      <c r="P85" s="292" t="e">
        <f t="shared" si="39"/>
        <v>#N/A</v>
      </c>
      <c r="Q85" s="292" t="e">
        <f t="shared" si="39"/>
        <v>#N/A</v>
      </c>
      <c r="R85" s="225" t="e">
        <f t="shared" si="29"/>
        <v>#N/A</v>
      </c>
      <c r="S85">
        <f t="shared" si="30"/>
        <v>12</v>
      </c>
    </row>
    <row r="86" spans="2:19">
      <c r="B86" s="278" t="s">
        <v>424</v>
      </c>
      <c r="C86" s="274">
        <f>VLOOKUP(B86,'Budget Detail'!$A$16:$F$254,3,FALSE)</f>
        <v>0</v>
      </c>
      <c r="D86" s="269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25">
        <f t="shared" si="29"/>
        <v>0</v>
      </c>
      <c r="S86">
        <f t="shared" si="30"/>
        <v>12</v>
      </c>
    </row>
    <row r="87" spans="2:19">
      <c r="B87" s="278" t="s">
        <v>425</v>
      </c>
      <c r="C87" s="274">
        <f>VLOOKUP(B87,'Budget Detail'!$A$16:$F$254,3,FALSE)</f>
        <v>0</v>
      </c>
      <c r="D87" s="269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25">
        <f t="shared" si="29"/>
        <v>0</v>
      </c>
      <c r="S87">
        <f t="shared" si="30"/>
        <v>12</v>
      </c>
    </row>
    <row r="88" spans="2:19">
      <c r="B88" s="278" t="s">
        <v>426</v>
      </c>
      <c r="C88" s="274">
        <f>VLOOKUP(B88,'Budget Detail'!$A$16:$F$254,3,FALSE)</f>
        <v>0</v>
      </c>
      <c r="D88" s="269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25">
        <f t="shared" si="29"/>
        <v>0</v>
      </c>
      <c r="S88">
        <f t="shared" si="30"/>
        <v>12</v>
      </c>
    </row>
    <row r="89" spans="2:19">
      <c r="B89" s="278" t="s">
        <v>427</v>
      </c>
      <c r="C89" s="274">
        <f>VLOOKUP(B89,'Budget Detail'!$A$16:$F$254,3,FALSE)</f>
        <v>0</v>
      </c>
      <c r="D89" s="269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25">
        <f t="shared" si="29"/>
        <v>0</v>
      </c>
      <c r="S89">
        <f t="shared" si="30"/>
        <v>12</v>
      </c>
    </row>
    <row r="90" spans="2:19">
      <c r="B90" s="278" t="s">
        <v>428</v>
      </c>
      <c r="C90" s="274">
        <f>VLOOKUP(B90,'Budget Detail'!$A$16:$F$254,3,FALSE)</f>
        <v>0</v>
      </c>
      <c r="D90" s="269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25">
        <f t="shared" si="29"/>
        <v>0</v>
      </c>
      <c r="S90">
        <f t="shared" si="30"/>
        <v>12</v>
      </c>
    </row>
    <row r="91" spans="2:19">
      <c r="B91" s="278" t="s">
        <v>429</v>
      </c>
      <c r="C91" s="274">
        <f>VLOOKUP(B91,'Budget Detail'!$A$16:$F$254,3,FALSE)</f>
        <v>-79.489999999999995</v>
      </c>
      <c r="D91" s="269"/>
      <c r="E91" s="292">
        <f t="shared" ref="E91:P91" si="40">$C91/$S91</f>
        <v>-6.6241666666666665</v>
      </c>
      <c r="F91" s="292">
        <f t="shared" si="40"/>
        <v>-6.6241666666666665</v>
      </c>
      <c r="G91" s="292">
        <f t="shared" si="40"/>
        <v>-6.6241666666666665</v>
      </c>
      <c r="H91" s="292">
        <f t="shared" si="40"/>
        <v>-6.6241666666666665</v>
      </c>
      <c r="I91" s="292">
        <f t="shared" si="40"/>
        <v>-6.6241666666666665</v>
      </c>
      <c r="J91" s="292">
        <f t="shared" si="40"/>
        <v>-6.6241666666666665</v>
      </c>
      <c r="K91" s="292">
        <f t="shared" si="40"/>
        <v>-6.6241666666666665</v>
      </c>
      <c r="L91" s="292">
        <f t="shared" si="40"/>
        <v>-6.6241666666666665</v>
      </c>
      <c r="M91" s="292">
        <f t="shared" si="40"/>
        <v>-6.6241666666666665</v>
      </c>
      <c r="N91" s="292">
        <f t="shared" si="40"/>
        <v>-6.6241666666666665</v>
      </c>
      <c r="O91" s="292">
        <f t="shared" si="40"/>
        <v>-6.6241666666666665</v>
      </c>
      <c r="P91" s="292">
        <f t="shared" si="40"/>
        <v>-6.6241666666666665</v>
      </c>
      <c r="Q91" s="293"/>
      <c r="R91" s="225">
        <f t="shared" si="29"/>
        <v>0</v>
      </c>
      <c r="S91">
        <f t="shared" si="30"/>
        <v>12</v>
      </c>
    </row>
    <row r="92" spans="2:19">
      <c r="B92" s="278" t="s">
        <v>430</v>
      </c>
      <c r="C92" s="274">
        <f>VLOOKUP(B92,'Budget Detail'!$A$16:$F$254,3,FALSE)</f>
        <v>0</v>
      </c>
      <c r="D92" s="269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25">
        <f t="shared" si="29"/>
        <v>0</v>
      </c>
      <c r="S92">
        <f t="shared" si="30"/>
        <v>12</v>
      </c>
    </row>
    <row r="93" spans="2:19">
      <c r="B93" s="278" t="s">
        <v>431</v>
      </c>
      <c r="C93" s="274">
        <f>VLOOKUP(B93,'Budget Detail'!$A$16:$F$254,3,FALSE)</f>
        <v>-1.66</v>
      </c>
      <c r="D93" s="269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25">
        <f t="shared" si="29"/>
        <v>-1.66</v>
      </c>
      <c r="S93">
        <f t="shared" si="30"/>
        <v>12</v>
      </c>
    </row>
    <row r="94" spans="2:19">
      <c r="B94" s="280" t="s">
        <v>432</v>
      </c>
      <c r="C94" s="277">
        <f>((((((((((((C81)+(C82))+(C83))+(C84))+(C85))+(C86))+(C87))+(C88))+(C89))+(C90))+(C91))+(C92))+(C93)</f>
        <v>13482.57</v>
      </c>
      <c r="D94" s="270"/>
      <c r="E94" s="294">
        <f t="shared" ref="E94:Q94" si="41">((((((((((((E81)+(E82))+(E83))+(E84))+(E85))+(E86))+(E87))+(E88))+(E89))+(E90))+(E91))+(E92))+(E93)</f>
        <v>1053.4020491666665</v>
      </c>
      <c r="F94" s="294" t="e">
        <f t="shared" si="41"/>
        <v>#N/A</v>
      </c>
      <c r="G94" s="294" t="e">
        <f t="shared" si="41"/>
        <v>#N/A</v>
      </c>
      <c r="H94" s="294" t="e">
        <f t="shared" si="41"/>
        <v>#N/A</v>
      </c>
      <c r="I94" s="294" t="e">
        <f t="shared" si="41"/>
        <v>#N/A</v>
      </c>
      <c r="J94" s="294" t="e">
        <f t="shared" si="41"/>
        <v>#N/A</v>
      </c>
      <c r="K94" s="294" t="e">
        <f t="shared" si="41"/>
        <v>#N/A</v>
      </c>
      <c r="L94" s="294" t="e">
        <f t="shared" si="41"/>
        <v>#N/A</v>
      </c>
      <c r="M94" s="294" t="e">
        <f t="shared" si="41"/>
        <v>#N/A</v>
      </c>
      <c r="N94" s="294" t="e">
        <f t="shared" si="41"/>
        <v>#N/A</v>
      </c>
      <c r="O94" s="294" t="e">
        <f t="shared" si="41"/>
        <v>#N/A</v>
      </c>
      <c r="P94" s="294" t="e">
        <f t="shared" si="41"/>
        <v>#N/A</v>
      </c>
      <c r="Q94" s="294" t="e">
        <f t="shared" si="41"/>
        <v>#N/A</v>
      </c>
      <c r="R94" s="225" t="e">
        <f t="shared" si="29"/>
        <v>#N/A</v>
      </c>
      <c r="S94">
        <f t="shared" si="30"/>
        <v>12</v>
      </c>
    </row>
    <row r="95" spans="2:19">
      <c r="B95" s="272" t="s">
        <v>443</v>
      </c>
      <c r="C95" s="274"/>
      <c r="D95" s="269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25">
        <f t="shared" si="29"/>
        <v>0</v>
      </c>
      <c r="S95">
        <f t="shared" si="30"/>
        <v>12</v>
      </c>
    </row>
    <row r="96" spans="2:19">
      <c r="B96" s="272" t="s">
        <v>444</v>
      </c>
      <c r="C96" s="274">
        <f>VLOOKUP(B96,'Budget Detail'!$A$16:$F$254,3,FALSE)</f>
        <v>7498.83</v>
      </c>
      <c r="D96" s="269"/>
      <c r="E96" s="292">
        <f t="shared" ref="E96:P96" si="42">$C96/$S96</f>
        <v>624.90250000000003</v>
      </c>
      <c r="F96" s="292">
        <f t="shared" si="42"/>
        <v>624.90250000000003</v>
      </c>
      <c r="G96" s="292">
        <f t="shared" si="42"/>
        <v>624.90250000000003</v>
      </c>
      <c r="H96" s="292">
        <f t="shared" si="42"/>
        <v>624.90250000000003</v>
      </c>
      <c r="I96" s="292">
        <f t="shared" si="42"/>
        <v>624.90250000000003</v>
      </c>
      <c r="J96" s="292">
        <f t="shared" si="42"/>
        <v>624.90250000000003</v>
      </c>
      <c r="K96" s="292">
        <f t="shared" si="42"/>
        <v>624.90250000000003</v>
      </c>
      <c r="L96" s="292">
        <f t="shared" si="42"/>
        <v>624.90250000000003</v>
      </c>
      <c r="M96" s="292">
        <f t="shared" si="42"/>
        <v>624.90250000000003</v>
      </c>
      <c r="N96" s="292">
        <f t="shared" si="42"/>
        <v>624.90250000000003</v>
      </c>
      <c r="O96" s="292">
        <f t="shared" si="42"/>
        <v>624.90250000000003</v>
      </c>
      <c r="P96" s="292">
        <f t="shared" si="42"/>
        <v>624.90250000000003</v>
      </c>
      <c r="Q96" s="293"/>
      <c r="R96" s="225">
        <f t="shared" si="29"/>
        <v>0</v>
      </c>
      <c r="S96">
        <f t="shared" si="30"/>
        <v>12</v>
      </c>
    </row>
    <row r="97" spans="2:21">
      <c r="B97" s="272" t="s">
        <v>445</v>
      </c>
      <c r="C97" s="274">
        <f>VLOOKUP(B97,'Budget Detail'!$A$16:$F$254,3,FALSE)</f>
        <v>446.49</v>
      </c>
      <c r="D97" s="269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25">
        <f t="shared" si="29"/>
        <v>446.49</v>
      </c>
      <c r="S97">
        <f t="shared" si="30"/>
        <v>12</v>
      </c>
    </row>
    <row r="98" spans="2:21">
      <c r="B98" s="272" t="s">
        <v>446</v>
      </c>
      <c r="C98" s="274">
        <f>VLOOKUP(B98,'Budget Detail'!$A$16:$F$254,3,FALSE)</f>
        <v>103.32</v>
      </c>
      <c r="D98" s="269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25">
        <f t="shared" si="29"/>
        <v>103.32</v>
      </c>
      <c r="S98">
        <f t="shared" si="30"/>
        <v>12</v>
      </c>
    </row>
    <row r="99" spans="2:21">
      <c r="B99" s="272" t="s">
        <v>447</v>
      </c>
      <c r="C99" s="274">
        <f>VLOOKUP(B99,'Budget Detail'!$A$16:$F$254,3,FALSE)</f>
        <v>0</v>
      </c>
      <c r="D99" s="269"/>
      <c r="E99" s="292">
        <f>C99</f>
        <v>0</v>
      </c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3"/>
      <c r="R99" s="225">
        <f t="shared" si="29"/>
        <v>0</v>
      </c>
      <c r="S99">
        <f t="shared" si="30"/>
        <v>12</v>
      </c>
      <c r="U99" t="s">
        <v>543</v>
      </c>
    </row>
    <row r="100" spans="2:21">
      <c r="B100" s="272" t="s">
        <v>448</v>
      </c>
      <c r="C100" s="274" t="e">
        <f>VLOOKUP(B100,'Budget Detail'!$A$16:$F$254,3,FALSE)</f>
        <v>#N/A</v>
      </c>
      <c r="D100" s="269"/>
      <c r="E100" s="292" t="e">
        <f t="shared" ref="E100:P100" si="43">$C100/$S100</f>
        <v>#N/A</v>
      </c>
      <c r="F100" s="292" t="e">
        <f t="shared" si="43"/>
        <v>#N/A</v>
      </c>
      <c r="G100" s="292" t="e">
        <f t="shared" si="43"/>
        <v>#N/A</v>
      </c>
      <c r="H100" s="292" t="e">
        <f t="shared" si="43"/>
        <v>#N/A</v>
      </c>
      <c r="I100" s="292" t="e">
        <f t="shared" si="43"/>
        <v>#N/A</v>
      </c>
      <c r="J100" s="292" t="e">
        <f t="shared" si="43"/>
        <v>#N/A</v>
      </c>
      <c r="K100" s="292" t="e">
        <f t="shared" si="43"/>
        <v>#N/A</v>
      </c>
      <c r="L100" s="292" t="e">
        <f t="shared" si="43"/>
        <v>#N/A</v>
      </c>
      <c r="M100" s="292" t="e">
        <f t="shared" si="43"/>
        <v>#N/A</v>
      </c>
      <c r="N100" s="292" t="e">
        <f t="shared" si="43"/>
        <v>#N/A</v>
      </c>
      <c r="O100" s="292" t="e">
        <f t="shared" si="43"/>
        <v>#N/A</v>
      </c>
      <c r="P100" s="292" t="e">
        <f t="shared" si="43"/>
        <v>#N/A</v>
      </c>
      <c r="Q100" s="293"/>
      <c r="R100" s="225" t="e">
        <f t="shared" si="29"/>
        <v>#N/A</v>
      </c>
      <c r="S100">
        <f t="shared" si="30"/>
        <v>12</v>
      </c>
    </row>
    <row r="101" spans="2:21">
      <c r="B101" s="272" t="s">
        <v>449</v>
      </c>
      <c r="C101" s="274">
        <f>VLOOKUP(B101,'Budget Detail'!$A$16:$F$254,3,FALSE)</f>
        <v>0</v>
      </c>
      <c r="D101" s="269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25">
        <f t="shared" si="29"/>
        <v>0</v>
      </c>
      <c r="S101">
        <f t="shared" si="30"/>
        <v>12</v>
      </c>
    </row>
    <row r="102" spans="2:21">
      <c r="B102" s="272" t="s">
        <v>450</v>
      </c>
      <c r="C102" s="274">
        <f>VLOOKUP(B102,'Budget Detail'!$A$16:$F$254,3,FALSE)</f>
        <v>264</v>
      </c>
      <c r="D102" s="269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25">
        <f t="shared" si="29"/>
        <v>264</v>
      </c>
      <c r="S102">
        <f t="shared" si="30"/>
        <v>12</v>
      </c>
    </row>
    <row r="103" spans="2:21">
      <c r="B103" s="276" t="s">
        <v>451</v>
      </c>
      <c r="C103" s="277" t="e">
        <f>(((((((C95)+(C96))+(C97))+(C98))+(C99))+(C100))+(C101))+(C102)</f>
        <v>#N/A</v>
      </c>
      <c r="D103" s="270"/>
      <c r="E103" s="294" t="e">
        <f t="shared" ref="E103:Q103" si="44">(((((((E95)+(E96))+(E97))+(E98))+(E99))+(E100))+(E101))+(E102)</f>
        <v>#N/A</v>
      </c>
      <c r="F103" s="294" t="e">
        <f t="shared" si="44"/>
        <v>#N/A</v>
      </c>
      <c r="G103" s="294" t="e">
        <f t="shared" si="44"/>
        <v>#N/A</v>
      </c>
      <c r="H103" s="294" t="e">
        <f t="shared" si="44"/>
        <v>#N/A</v>
      </c>
      <c r="I103" s="294" t="e">
        <f t="shared" si="44"/>
        <v>#N/A</v>
      </c>
      <c r="J103" s="294" t="e">
        <f t="shared" si="44"/>
        <v>#N/A</v>
      </c>
      <c r="K103" s="294" t="e">
        <f t="shared" si="44"/>
        <v>#N/A</v>
      </c>
      <c r="L103" s="294" t="e">
        <f t="shared" si="44"/>
        <v>#N/A</v>
      </c>
      <c r="M103" s="294" t="e">
        <f t="shared" si="44"/>
        <v>#N/A</v>
      </c>
      <c r="N103" s="294" t="e">
        <f t="shared" si="44"/>
        <v>#N/A</v>
      </c>
      <c r="O103" s="294" t="e">
        <f t="shared" si="44"/>
        <v>#N/A</v>
      </c>
      <c r="P103" s="294" t="e">
        <f t="shared" si="44"/>
        <v>#N/A</v>
      </c>
      <c r="Q103" s="294">
        <f t="shared" si="44"/>
        <v>0</v>
      </c>
      <c r="R103" s="225" t="e">
        <f t="shared" si="29"/>
        <v>#N/A</v>
      </c>
      <c r="S103">
        <f t="shared" si="30"/>
        <v>12</v>
      </c>
    </row>
    <row r="104" spans="2:21">
      <c r="B104" s="278" t="s">
        <v>433</v>
      </c>
      <c r="C104" s="274"/>
      <c r="D104" s="269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25">
        <f t="shared" si="29"/>
        <v>0</v>
      </c>
      <c r="S104">
        <f t="shared" si="30"/>
        <v>12</v>
      </c>
    </row>
    <row r="105" spans="2:21">
      <c r="B105" s="278" t="s">
        <v>434</v>
      </c>
      <c r="C105" s="274">
        <f>VLOOKUP(B105,'Budget Detail'!$A$16:$F$254,3,FALSE)</f>
        <v>0</v>
      </c>
      <c r="D105" s="269"/>
      <c r="E105" s="293">
        <f>$C105/4</f>
        <v>0</v>
      </c>
      <c r="F105" s="293"/>
      <c r="G105" s="293"/>
      <c r="H105" s="293">
        <f>$C105/4</f>
        <v>0</v>
      </c>
      <c r="I105" s="293"/>
      <c r="J105" s="293"/>
      <c r="K105" s="293">
        <f>$C105/4</f>
        <v>0</v>
      </c>
      <c r="L105" s="293"/>
      <c r="M105" s="293"/>
      <c r="N105" s="293">
        <f>$C105/4</f>
        <v>0</v>
      </c>
      <c r="O105" s="293"/>
      <c r="P105" s="293"/>
      <c r="Q105" s="293"/>
      <c r="R105" s="225">
        <f t="shared" si="29"/>
        <v>0</v>
      </c>
      <c r="S105">
        <f t="shared" si="30"/>
        <v>12</v>
      </c>
    </row>
    <row r="106" spans="2:21">
      <c r="B106" s="278" t="s">
        <v>435</v>
      </c>
      <c r="C106" s="274">
        <f>VLOOKUP(B106,'Budget Detail'!$A$16:$F$254,3,FALSE)</f>
        <v>0</v>
      </c>
      <c r="D106" s="269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>
        <f>C106</f>
        <v>0</v>
      </c>
      <c r="R106" s="225">
        <f t="shared" si="29"/>
        <v>0</v>
      </c>
      <c r="S106">
        <f t="shared" si="30"/>
        <v>12</v>
      </c>
    </row>
    <row r="107" spans="2:21">
      <c r="B107" s="278" t="s">
        <v>436</v>
      </c>
      <c r="C107" s="274">
        <f>VLOOKUP(B107,'Budget Detail'!$A$16:$F$254,3,FALSE)</f>
        <v>0</v>
      </c>
      <c r="D107" s="269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25">
        <f t="shared" si="29"/>
        <v>0</v>
      </c>
      <c r="S107">
        <f t="shared" si="30"/>
        <v>12</v>
      </c>
    </row>
    <row r="108" spans="2:21">
      <c r="B108" s="280" t="s">
        <v>437</v>
      </c>
      <c r="C108" s="277">
        <f>(((C104)+(C105))+(C106))+(C107)</f>
        <v>0</v>
      </c>
      <c r="D108" s="270"/>
      <c r="E108" s="294">
        <f t="shared" ref="E108:Q108" si="45">(((E104)+(E105))+(E106))+(E107)</f>
        <v>0</v>
      </c>
      <c r="F108" s="294">
        <f t="shared" si="45"/>
        <v>0</v>
      </c>
      <c r="G108" s="294">
        <f t="shared" si="45"/>
        <v>0</v>
      </c>
      <c r="H108" s="294">
        <f t="shared" si="45"/>
        <v>0</v>
      </c>
      <c r="I108" s="294">
        <f t="shared" si="45"/>
        <v>0</v>
      </c>
      <c r="J108" s="294">
        <f t="shared" si="45"/>
        <v>0</v>
      </c>
      <c r="K108" s="294">
        <f t="shared" si="45"/>
        <v>0</v>
      </c>
      <c r="L108" s="294">
        <f t="shared" si="45"/>
        <v>0</v>
      </c>
      <c r="M108" s="294">
        <f t="shared" si="45"/>
        <v>0</v>
      </c>
      <c r="N108" s="294">
        <f t="shared" si="45"/>
        <v>0</v>
      </c>
      <c r="O108" s="294">
        <f t="shared" si="45"/>
        <v>0</v>
      </c>
      <c r="P108" s="294">
        <f t="shared" si="45"/>
        <v>0</v>
      </c>
      <c r="Q108" s="294">
        <f t="shared" si="45"/>
        <v>0</v>
      </c>
      <c r="R108" s="225">
        <f t="shared" si="29"/>
        <v>0</v>
      </c>
      <c r="S108">
        <f t="shared" si="30"/>
        <v>12</v>
      </c>
    </row>
    <row r="109" spans="2:21">
      <c r="B109" s="281" t="s">
        <v>438</v>
      </c>
      <c r="C109" s="282" t="e">
        <f>((((((C57)+(C69))+(C76))+(C80))+(C94))+(C103))+(C108)</f>
        <v>#N/A</v>
      </c>
      <c r="D109" s="270"/>
      <c r="E109" s="295" t="e">
        <f t="shared" ref="E109:Q109" si="46">((((((E57)+(E69))+(E76))+(E80))+(E94))+(E103))+(E108)</f>
        <v>#N/A</v>
      </c>
      <c r="F109" s="295" t="e">
        <f t="shared" si="46"/>
        <v>#N/A</v>
      </c>
      <c r="G109" s="295" t="e">
        <f t="shared" si="46"/>
        <v>#N/A</v>
      </c>
      <c r="H109" s="295" t="e">
        <f t="shared" si="46"/>
        <v>#N/A</v>
      </c>
      <c r="I109" s="295" t="e">
        <f t="shared" si="46"/>
        <v>#N/A</v>
      </c>
      <c r="J109" s="295" t="e">
        <f t="shared" si="46"/>
        <v>#N/A</v>
      </c>
      <c r="K109" s="295" t="e">
        <f t="shared" si="46"/>
        <v>#N/A</v>
      </c>
      <c r="L109" s="295" t="e">
        <f t="shared" si="46"/>
        <v>#N/A</v>
      </c>
      <c r="M109" s="295" t="e">
        <f t="shared" si="46"/>
        <v>#N/A</v>
      </c>
      <c r="N109" s="295" t="e">
        <f t="shared" si="46"/>
        <v>#N/A</v>
      </c>
      <c r="O109" s="295" t="e">
        <f t="shared" si="46"/>
        <v>#N/A</v>
      </c>
      <c r="P109" s="295" t="e">
        <f t="shared" si="46"/>
        <v>#N/A</v>
      </c>
      <c r="Q109" s="295" t="e">
        <f t="shared" si="46"/>
        <v>#N/A</v>
      </c>
      <c r="R109" s="225" t="e">
        <f t="shared" si="29"/>
        <v>#N/A</v>
      </c>
      <c r="S109">
        <f t="shared" si="30"/>
        <v>12</v>
      </c>
    </row>
    <row r="110" spans="2:21">
      <c r="B110" s="272" t="s">
        <v>32</v>
      </c>
      <c r="C110" s="274"/>
      <c r="D110" s="269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25">
        <f t="shared" si="29"/>
        <v>0</v>
      </c>
      <c r="S110">
        <f t="shared" si="30"/>
        <v>12</v>
      </c>
    </row>
    <row r="111" spans="2:21">
      <c r="B111" s="278" t="s">
        <v>452</v>
      </c>
      <c r="C111" s="274">
        <f>VLOOKUP(B111,'Budget Detail'!$A$16:$F$254,3,FALSE)</f>
        <v>2000</v>
      </c>
      <c r="D111" s="269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>
        <f>C111</f>
        <v>2000</v>
      </c>
      <c r="R111" s="225">
        <f t="shared" si="29"/>
        <v>0</v>
      </c>
      <c r="S111">
        <f t="shared" si="30"/>
        <v>12</v>
      </c>
    </row>
    <row r="112" spans="2:21">
      <c r="B112" s="272" t="s">
        <v>33</v>
      </c>
      <c r="C112" s="274">
        <f>VLOOKUP(B112,'Budget Detail'!$A$16:$F$254,3,FALSE)</f>
        <v>671.19</v>
      </c>
      <c r="D112" s="269"/>
      <c r="E112" s="292">
        <f t="shared" ref="E112:Q122" si="47">$C112/$S112</f>
        <v>55.932500000000005</v>
      </c>
      <c r="F112" s="292">
        <f t="shared" si="47"/>
        <v>55.932500000000005</v>
      </c>
      <c r="G112" s="292">
        <f t="shared" si="47"/>
        <v>55.932500000000005</v>
      </c>
      <c r="H112" s="292">
        <f t="shared" si="47"/>
        <v>55.932500000000005</v>
      </c>
      <c r="I112" s="292">
        <f t="shared" si="47"/>
        <v>55.932500000000005</v>
      </c>
      <c r="J112" s="292">
        <f t="shared" si="47"/>
        <v>55.932500000000005</v>
      </c>
      <c r="K112" s="292">
        <f t="shared" si="47"/>
        <v>55.932500000000005</v>
      </c>
      <c r="L112" s="292">
        <f t="shared" si="47"/>
        <v>55.932500000000005</v>
      </c>
      <c r="M112" s="292">
        <f t="shared" si="47"/>
        <v>55.932500000000005</v>
      </c>
      <c r="N112" s="292">
        <f t="shared" si="47"/>
        <v>55.932500000000005</v>
      </c>
      <c r="O112" s="292">
        <f t="shared" si="47"/>
        <v>55.932500000000005</v>
      </c>
      <c r="P112" s="292">
        <f t="shared" si="47"/>
        <v>55.932500000000005</v>
      </c>
      <c r="Q112" s="293"/>
      <c r="R112" s="225">
        <f t="shared" si="29"/>
        <v>0</v>
      </c>
      <c r="S112">
        <f t="shared" si="30"/>
        <v>12</v>
      </c>
    </row>
    <row r="113" spans="2:19">
      <c r="B113" s="272" t="s">
        <v>34</v>
      </c>
      <c r="C113" s="274">
        <f>VLOOKUP(B113,'Budget Detail'!$A$16:$F$254,3,FALSE)</f>
        <v>25000</v>
      </c>
      <c r="D113" s="269"/>
      <c r="E113" s="292"/>
      <c r="F113" s="292">
        <f t="shared" si="47"/>
        <v>2083.3333333333335</v>
      </c>
      <c r="G113" s="292">
        <f t="shared" si="47"/>
        <v>2083.3333333333335</v>
      </c>
      <c r="H113" s="292">
        <f t="shared" si="47"/>
        <v>2083.3333333333335</v>
      </c>
      <c r="I113" s="292">
        <f t="shared" si="47"/>
        <v>2083.3333333333335</v>
      </c>
      <c r="J113" s="292">
        <f t="shared" si="47"/>
        <v>2083.3333333333335</v>
      </c>
      <c r="K113" s="292">
        <f t="shared" si="47"/>
        <v>2083.3333333333335</v>
      </c>
      <c r="L113" s="292">
        <f t="shared" si="47"/>
        <v>2083.3333333333335</v>
      </c>
      <c r="M113" s="292">
        <f t="shared" si="47"/>
        <v>2083.3333333333335</v>
      </c>
      <c r="N113" s="292">
        <f t="shared" si="47"/>
        <v>2083.3333333333335</v>
      </c>
      <c r="O113" s="292">
        <f t="shared" si="47"/>
        <v>2083.3333333333335</v>
      </c>
      <c r="P113" s="292">
        <f t="shared" si="47"/>
        <v>2083.3333333333335</v>
      </c>
      <c r="Q113" s="292">
        <f t="shared" si="47"/>
        <v>2083.3333333333335</v>
      </c>
      <c r="R113" s="225">
        <f t="shared" si="29"/>
        <v>0</v>
      </c>
      <c r="S113">
        <f t="shared" si="30"/>
        <v>12</v>
      </c>
    </row>
    <row r="114" spans="2:19">
      <c r="B114" s="272" t="s">
        <v>35</v>
      </c>
      <c r="C114" s="274">
        <f>VLOOKUP(B114,'Budget Detail'!$A$16:$F$254,3,FALSE)</f>
        <v>475</v>
      </c>
      <c r="D114" s="269"/>
      <c r="E114" s="292"/>
      <c r="F114" s="292">
        <f t="shared" si="47"/>
        <v>39.583333333333336</v>
      </c>
      <c r="G114" s="292">
        <f t="shared" si="47"/>
        <v>39.583333333333336</v>
      </c>
      <c r="H114" s="292">
        <f t="shared" si="47"/>
        <v>39.583333333333336</v>
      </c>
      <c r="I114" s="292">
        <f t="shared" si="47"/>
        <v>39.583333333333336</v>
      </c>
      <c r="J114" s="292">
        <f t="shared" si="47"/>
        <v>39.583333333333336</v>
      </c>
      <c r="K114" s="292">
        <f t="shared" si="47"/>
        <v>39.583333333333336</v>
      </c>
      <c r="L114" s="292">
        <f t="shared" si="47"/>
        <v>39.583333333333336</v>
      </c>
      <c r="M114" s="292">
        <f t="shared" si="47"/>
        <v>39.583333333333336</v>
      </c>
      <c r="N114" s="292">
        <f t="shared" si="47"/>
        <v>39.583333333333336</v>
      </c>
      <c r="O114" s="292">
        <f t="shared" si="47"/>
        <v>39.583333333333336</v>
      </c>
      <c r="P114" s="292">
        <f t="shared" si="47"/>
        <v>39.583333333333336</v>
      </c>
      <c r="Q114" s="292">
        <f t="shared" si="47"/>
        <v>39.583333333333336</v>
      </c>
      <c r="R114" s="225">
        <f t="shared" si="29"/>
        <v>0</v>
      </c>
      <c r="S114">
        <f t="shared" si="30"/>
        <v>12</v>
      </c>
    </row>
    <row r="115" spans="2:19">
      <c r="B115" s="272" t="s">
        <v>36</v>
      </c>
      <c r="C115" s="274">
        <f>VLOOKUP(B115,'Budget Detail'!$A$16:$F$254,3,FALSE)</f>
        <v>0</v>
      </c>
      <c r="D115" s="269"/>
      <c r="E115" s="292">
        <f t="shared" si="47"/>
        <v>0</v>
      </c>
      <c r="F115" s="292">
        <f t="shared" si="47"/>
        <v>0</v>
      </c>
      <c r="G115" s="292">
        <f t="shared" si="47"/>
        <v>0</v>
      </c>
      <c r="H115" s="292">
        <f t="shared" si="47"/>
        <v>0</v>
      </c>
      <c r="I115" s="292">
        <f t="shared" si="47"/>
        <v>0</v>
      </c>
      <c r="J115" s="292">
        <f t="shared" si="47"/>
        <v>0</v>
      </c>
      <c r="K115" s="292">
        <f t="shared" si="47"/>
        <v>0</v>
      </c>
      <c r="L115" s="292">
        <f t="shared" si="47"/>
        <v>0</v>
      </c>
      <c r="M115" s="292">
        <f t="shared" si="47"/>
        <v>0</v>
      </c>
      <c r="N115" s="292">
        <f t="shared" si="47"/>
        <v>0</v>
      </c>
      <c r="O115" s="292">
        <f t="shared" si="47"/>
        <v>0</v>
      </c>
      <c r="P115" s="292">
        <f t="shared" si="47"/>
        <v>0</v>
      </c>
      <c r="Q115" s="293"/>
      <c r="R115" s="225">
        <f t="shared" si="29"/>
        <v>0</v>
      </c>
      <c r="S115">
        <f t="shared" si="30"/>
        <v>12</v>
      </c>
    </row>
    <row r="116" spans="2:19">
      <c r="B116" s="275" t="s">
        <v>37</v>
      </c>
      <c r="C116" s="274">
        <f>VLOOKUP(B116,'Budget Detail'!$A$16:$F$254,3,FALSE)</f>
        <v>0</v>
      </c>
      <c r="D116" s="269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3"/>
      <c r="R116" s="225">
        <f t="shared" si="29"/>
        <v>0</v>
      </c>
      <c r="S116">
        <f t="shared" si="30"/>
        <v>12</v>
      </c>
    </row>
    <row r="117" spans="2:19">
      <c r="B117" s="272" t="s">
        <v>38</v>
      </c>
      <c r="C117" s="274">
        <f>VLOOKUP(B117,'Budget Detail'!$A$16:$F$254,3,FALSE)</f>
        <v>0</v>
      </c>
      <c r="D117" s="269"/>
      <c r="E117" s="292">
        <f>C117</f>
        <v>0</v>
      </c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3"/>
      <c r="R117" s="225">
        <f t="shared" si="29"/>
        <v>0</v>
      </c>
      <c r="S117">
        <f t="shared" si="30"/>
        <v>12</v>
      </c>
    </row>
    <row r="118" spans="2:19">
      <c r="B118" s="272" t="s">
        <v>39</v>
      </c>
      <c r="C118" s="274">
        <f>VLOOKUP(B118,'Budget Detail'!$A$16:$F$254,3,FALSE)</f>
        <v>6000</v>
      </c>
      <c r="D118" s="269"/>
      <c r="E118" s="292"/>
      <c r="F118" s="292"/>
      <c r="G118" s="292">
        <f>C118</f>
        <v>6000</v>
      </c>
      <c r="H118" s="292"/>
      <c r="I118" s="292"/>
      <c r="J118" s="292"/>
      <c r="K118" s="292"/>
      <c r="L118" s="292"/>
      <c r="M118" s="292"/>
      <c r="N118" s="292"/>
      <c r="O118" s="292"/>
      <c r="P118" s="292"/>
      <c r="Q118" s="293"/>
      <c r="R118" s="225">
        <f t="shared" si="29"/>
        <v>0</v>
      </c>
      <c r="S118">
        <f t="shared" si="30"/>
        <v>12</v>
      </c>
    </row>
    <row r="119" spans="2:19">
      <c r="B119" s="272" t="s">
        <v>40</v>
      </c>
      <c r="C119" s="274">
        <f>VLOOKUP(B119,'Budget Detail'!$A$16:$F$254,3,FALSE)</f>
        <v>14000</v>
      </c>
      <c r="D119" s="269"/>
      <c r="E119" s="292">
        <f t="shared" si="47"/>
        <v>1166.6666666666667</v>
      </c>
      <c r="F119" s="292">
        <f t="shared" si="47"/>
        <v>1166.6666666666667</v>
      </c>
      <c r="G119" s="292">
        <f t="shared" si="47"/>
        <v>1166.6666666666667</v>
      </c>
      <c r="H119" s="292">
        <f t="shared" si="47"/>
        <v>1166.6666666666667</v>
      </c>
      <c r="I119" s="292">
        <f t="shared" si="47"/>
        <v>1166.6666666666667</v>
      </c>
      <c r="J119" s="292">
        <f t="shared" si="47"/>
        <v>1166.6666666666667</v>
      </c>
      <c r="K119" s="292">
        <f t="shared" si="47"/>
        <v>1166.6666666666667</v>
      </c>
      <c r="L119" s="292">
        <f t="shared" si="47"/>
        <v>1166.6666666666667</v>
      </c>
      <c r="M119" s="292">
        <f t="shared" si="47"/>
        <v>1166.6666666666667</v>
      </c>
      <c r="N119" s="292">
        <f t="shared" si="47"/>
        <v>1166.6666666666667</v>
      </c>
      <c r="O119" s="292">
        <f t="shared" si="47"/>
        <v>1166.6666666666667</v>
      </c>
      <c r="P119" s="292">
        <f t="shared" si="47"/>
        <v>1166.6666666666667</v>
      </c>
      <c r="Q119" s="293"/>
      <c r="R119" s="225">
        <f t="shared" si="29"/>
        <v>0</v>
      </c>
      <c r="S119">
        <f t="shared" si="30"/>
        <v>12</v>
      </c>
    </row>
    <row r="120" spans="2:19">
      <c r="B120" s="272" t="s">
        <v>41</v>
      </c>
      <c r="C120" s="274">
        <f>VLOOKUP(B120,'Budget Detail'!$A$16:$F$254,3,FALSE)</f>
        <v>0</v>
      </c>
      <c r="D120" s="269"/>
      <c r="E120" s="292">
        <f t="shared" si="47"/>
        <v>0</v>
      </c>
      <c r="F120" s="292">
        <f t="shared" si="47"/>
        <v>0</v>
      </c>
      <c r="G120" s="292">
        <f t="shared" si="47"/>
        <v>0</v>
      </c>
      <c r="H120" s="292">
        <f t="shared" si="47"/>
        <v>0</v>
      </c>
      <c r="I120" s="292">
        <f t="shared" si="47"/>
        <v>0</v>
      </c>
      <c r="J120" s="292">
        <f t="shared" si="47"/>
        <v>0</v>
      </c>
      <c r="K120" s="292">
        <f t="shared" si="47"/>
        <v>0</v>
      </c>
      <c r="L120" s="292">
        <f t="shared" si="47"/>
        <v>0</v>
      </c>
      <c r="M120" s="292">
        <f t="shared" si="47"/>
        <v>0</v>
      </c>
      <c r="N120" s="292">
        <f t="shared" si="47"/>
        <v>0</v>
      </c>
      <c r="O120" s="292">
        <f t="shared" si="47"/>
        <v>0</v>
      </c>
      <c r="P120" s="292">
        <f t="shared" si="47"/>
        <v>0</v>
      </c>
      <c r="Q120" s="293"/>
      <c r="R120" s="225">
        <f t="shared" si="29"/>
        <v>0</v>
      </c>
      <c r="S120">
        <f t="shared" si="30"/>
        <v>12</v>
      </c>
    </row>
    <row r="121" spans="2:19">
      <c r="B121" s="272" t="s">
        <v>42</v>
      </c>
      <c r="C121" s="274">
        <f>VLOOKUP(B121,'Budget Detail'!$A$16:$F$254,3,FALSE)</f>
        <v>0</v>
      </c>
      <c r="D121" s="269"/>
      <c r="E121" s="292"/>
      <c r="F121" s="292"/>
      <c r="G121" s="292">
        <f t="shared" si="47"/>
        <v>0</v>
      </c>
      <c r="H121" s="292">
        <f t="shared" si="47"/>
        <v>0</v>
      </c>
      <c r="I121" s="292">
        <f t="shared" si="47"/>
        <v>0</v>
      </c>
      <c r="J121" s="292">
        <f t="shared" si="47"/>
        <v>0</v>
      </c>
      <c r="K121" s="292">
        <f t="shared" si="47"/>
        <v>0</v>
      </c>
      <c r="L121" s="292">
        <f t="shared" si="47"/>
        <v>0</v>
      </c>
      <c r="M121" s="292">
        <f t="shared" si="47"/>
        <v>0</v>
      </c>
      <c r="N121" s="292">
        <f t="shared" si="47"/>
        <v>0</v>
      </c>
      <c r="O121" s="292">
        <f t="shared" si="47"/>
        <v>0</v>
      </c>
      <c r="P121" s="292">
        <f t="shared" si="47"/>
        <v>0</v>
      </c>
      <c r="Q121" s="293"/>
      <c r="R121" s="225">
        <f t="shared" si="29"/>
        <v>0</v>
      </c>
      <c r="S121">
        <f>$S$2-2</f>
        <v>10</v>
      </c>
    </row>
    <row r="122" spans="2:19">
      <c r="B122" s="272" t="s">
        <v>43</v>
      </c>
      <c r="C122" s="274">
        <f>VLOOKUP(B122,'Budget Detail'!$A$16:$F$254,3,FALSE)</f>
        <v>0</v>
      </c>
      <c r="D122" s="269"/>
      <c r="E122" s="292">
        <f t="shared" si="47"/>
        <v>0</v>
      </c>
      <c r="F122" s="292">
        <f t="shared" si="47"/>
        <v>0</v>
      </c>
      <c r="G122" s="292">
        <f t="shared" si="47"/>
        <v>0</v>
      </c>
      <c r="H122" s="292">
        <f t="shared" si="47"/>
        <v>0</v>
      </c>
      <c r="I122" s="292">
        <f t="shared" si="47"/>
        <v>0</v>
      </c>
      <c r="J122" s="292">
        <f t="shared" si="47"/>
        <v>0</v>
      </c>
      <c r="K122" s="292">
        <f t="shared" si="47"/>
        <v>0</v>
      </c>
      <c r="L122" s="292">
        <f t="shared" si="47"/>
        <v>0</v>
      </c>
      <c r="M122" s="292">
        <f t="shared" si="47"/>
        <v>0</v>
      </c>
      <c r="N122" s="292">
        <f t="shared" si="47"/>
        <v>0</v>
      </c>
      <c r="O122" s="292">
        <f t="shared" si="47"/>
        <v>0</v>
      </c>
      <c r="P122" s="292">
        <f t="shared" si="47"/>
        <v>0</v>
      </c>
      <c r="Q122" s="293"/>
      <c r="R122" s="225">
        <f t="shared" si="29"/>
        <v>0</v>
      </c>
      <c r="S122">
        <f t="shared" si="30"/>
        <v>12</v>
      </c>
    </row>
    <row r="123" spans="2:19">
      <c r="B123" s="272" t="s">
        <v>44</v>
      </c>
      <c r="C123" s="274">
        <f>VLOOKUP(B123,'Budget Detail'!$A$16:$F$254,3,FALSE)</f>
        <v>6480</v>
      </c>
      <c r="D123" s="269"/>
      <c r="E123" s="292">
        <v>5000</v>
      </c>
      <c r="F123" s="292">
        <v>5000</v>
      </c>
      <c r="G123" s="292">
        <v>0</v>
      </c>
      <c r="H123" s="292">
        <f t="shared" ref="H123:Q123" si="48">($C$123-10000)/($S$123-2)</f>
        <v>-352</v>
      </c>
      <c r="I123" s="292">
        <f t="shared" si="48"/>
        <v>-352</v>
      </c>
      <c r="J123" s="292">
        <f t="shared" si="48"/>
        <v>-352</v>
      </c>
      <c r="K123" s="292">
        <f t="shared" si="48"/>
        <v>-352</v>
      </c>
      <c r="L123" s="292">
        <f t="shared" si="48"/>
        <v>-352</v>
      </c>
      <c r="M123" s="292">
        <f t="shared" si="48"/>
        <v>-352</v>
      </c>
      <c r="N123" s="292">
        <f t="shared" si="48"/>
        <v>-352</v>
      </c>
      <c r="O123" s="292">
        <f t="shared" si="48"/>
        <v>-352</v>
      </c>
      <c r="P123" s="292">
        <f t="shared" si="48"/>
        <v>-352</v>
      </c>
      <c r="Q123" s="292">
        <f t="shared" si="48"/>
        <v>-352</v>
      </c>
      <c r="R123" s="225">
        <f t="shared" si="29"/>
        <v>0</v>
      </c>
      <c r="S123">
        <f t="shared" si="30"/>
        <v>12</v>
      </c>
    </row>
    <row r="124" spans="2:19">
      <c r="B124" s="276" t="s">
        <v>45</v>
      </c>
      <c r="C124" s="277">
        <f>(((((((((((((C110)+(C111))+(C112))+(C113))+(C114))+(C115))+(C116))+(C117))+(C118))+(C119))+(C120))+(C121))+(C122))+(C123)</f>
        <v>54626.19</v>
      </c>
      <c r="D124" s="270"/>
      <c r="E124" s="294">
        <f t="shared" ref="E124:Q124" si="49">(((((((((((((E110)+(E111))+(E112))+(E113))+(E114))+(E115))+(E116))+(E117))+(E118))+(E119))+(E120))+(E121))+(E122))+(E123)</f>
        <v>6222.5991666666669</v>
      </c>
      <c r="F124" s="294">
        <f t="shared" si="49"/>
        <v>8345.5158333333347</v>
      </c>
      <c r="G124" s="294">
        <f t="shared" si="49"/>
        <v>9345.5158333333329</v>
      </c>
      <c r="H124" s="294">
        <f t="shared" si="49"/>
        <v>2993.5158333333338</v>
      </c>
      <c r="I124" s="294">
        <f t="shared" si="49"/>
        <v>2993.5158333333338</v>
      </c>
      <c r="J124" s="294">
        <f t="shared" si="49"/>
        <v>2993.5158333333338</v>
      </c>
      <c r="K124" s="294">
        <f t="shared" si="49"/>
        <v>2993.5158333333338</v>
      </c>
      <c r="L124" s="294">
        <f t="shared" si="49"/>
        <v>2993.5158333333338</v>
      </c>
      <c r="M124" s="294">
        <f t="shared" si="49"/>
        <v>2993.5158333333338</v>
      </c>
      <c r="N124" s="294">
        <f t="shared" si="49"/>
        <v>2993.5158333333338</v>
      </c>
      <c r="O124" s="294">
        <f t="shared" si="49"/>
        <v>2993.5158333333338</v>
      </c>
      <c r="P124" s="294">
        <f t="shared" si="49"/>
        <v>2993.5158333333338</v>
      </c>
      <c r="Q124" s="294">
        <f t="shared" si="49"/>
        <v>3770.916666666667</v>
      </c>
      <c r="R124" s="225">
        <f t="shared" ref="R124:R187" si="50">C124-SUM(E124:Q124)</f>
        <v>0</v>
      </c>
      <c r="S124">
        <f t="shared" ref="S124:S187" si="51">$S$2</f>
        <v>12</v>
      </c>
    </row>
    <row r="125" spans="2:19">
      <c r="B125" s="272" t="s">
        <v>46</v>
      </c>
      <c r="C125" s="274"/>
      <c r="D125" s="269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25">
        <f t="shared" si="50"/>
        <v>0</v>
      </c>
      <c r="S125">
        <f t="shared" si="51"/>
        <v>12</v>
      </c>
    </row>
    <row r="126" spans="2:19">
      <c r="B126" s="272" t="s">
        <v>47</v>
      </c>
      <c r="C126" s="274">
        <f>VLOOKUP(B126,'Budget Detail'!$A$16:$F$254,3,FALSE)</f>
        <v>0</v>
      </c>
      <c r="D126" s="269"/>
      <c r="E126" s="292">
        <f t="shared" ref="E126:P127" si="52">$C126/$S126</f>
        <v>0</v>
      </c>
      <c r="F126" s="292">
        <f t="shared" si="52"/>
        <v>0</v>
      </c>
      <c r="G126" s="292">
        <f t="shared" si="52"/>
        <v>0</v>
      </c>
      <c r="H126" s="292">
        <f t="shared" si="52"/>
        <v>0</v>
      </c>
      <c r="I126" s="292">
        <f t="shared" si="52"/>
        <v>0</v>
      </c>
      <c r="J126" s="292">
        <f t="shared" si="52"/>
        <v>0</v>
      </c>
      <c r="K126" s="292">
        <f t="shared" si="52"/>
        <v>0</v>
      </c>
      <c r="L126" s="292">
        <f t="shared" si="52"/>
        <v>0</v>
      </c>
      <c r="M126" s="292">
        <f t="shared" si="52"/>
        <v>0</v>
      </c>
      <c r="N126" s="292">
        <f t="shared" si="52"/>
        <v>0</v>
      </c>
      <c r="O126" s="292">
        <f t="shared" si="52"/>
        <v>0</v>
      </c>
      <c r="P126" s="292">
        <f t="shared" si="52"/>
        <v>0</v>
      </c>
      <c r="Q126" s="293"/>
      <c r="R126" s="225">
        <f t="shared" si="50"/>
        <v>0</v>
      </c>
      <c r="S126">
        <f t="shared" si="51"/>
        <v>12</v>
      </c>
    </row>
    <row r="127" spans="2:19">
      <c r="B127" s="272" t="s">
        <v>48</v>
      </c>
      <c r="C127" s="274">
        <f>VLOOKUP(B127,'Budget Detail'!$A$16:$F$254,3,FALSE)</f>
        <v>0</v>
      </c>
      <c r="D127" s="269"/>
      <c r="E127" s="292">
        <f t="shared" si="52"/>
        <v>0</v>
      </c>
      <c r="F127" s="292">
        <f t="shared" si="52"/>
        <v>0</v>
      </c>
      <c r="G127" s="292">
        <f t="shared" si="52"/>
        <v>0</v>
      </c>
      <c r="H127" s="292">
        <f t="shared" si="52"/>
        <v>0</v>
      </c>
      <c r="I127" s="292">
        <f t="shared" si="52"/>
        <v>0</v>
      </c>
      <c r="J127" s="292">
        <f t="shared" si="52"/>
        <v>0</v>
      </c>
      <c r="K127" s="292">
        <f t="shared" si="52"/>
        <v>0</v>
      </c>
      <c r="L127" s="292">
        <f t="shared" si="52"/>
        <v>0</v>
      </c>
      <c r="M127" s="292">
        <f t="shared" si="52"/>
        <v>0</v>
      </c>
      <c r="N127" s="292">
        <f t="shared" si="52"/>
        <v>0</v>
      </c>
      <c r="O127" s="292">
        <f t="shared" si="52"/>
        <v>0</v>
      </c>
      <c r="P127" s="292">
        <f t="shared" si="52"/>
        <v>0</v>
      </c>
      <c r="Q127" s="293"/>
      <c r="R127" s="225">
        <f t="shared" si="50"/>
        <v>0</v>
      </c>
      <c r="S127">
        <f t="shared" si="51"/>
        <v>12</v>
      </c>
    </row>
    <row r="128" spans="2:19">
      <c r="B128" s="276" t="s">
        <v>49</v>
      </c>
      <c r="C128" s="277">
        <f>((C125)+(C126))+(C127)</f>
        <v>0</v>
      </c>
      <c r="D128" s="270"/>
      <c r="E128" s="294">
        <f t="shared" ref="E128:Q128" si="53">((E125)+(E126))+(E127)</f>
        <v>0</v>
      </c>
      <c r="F128" s="294">
        <f t="shared" si="53"/>
        <v>0</v>
      </c>
      <c r="G128" s="294">
        <f t="shared" si="53"/>
        <v>0</v>
      </c>
      <c r="H128" s="294">
        <f t="shared" si="53"/>
        <v>0</v>
      </c>
      <c r="I128" s="294">
        <f t="shared" si="53"/>
        <v>0</v>
      </c>
      <c r="J128" s="294">
        <f t="shared" si="53"/>
        <v>0</v>
      </c>
      <c r="K128" s="294">
        <f t="shared" si="53"/>
        <v>0</v>
      </c>
      <c r="L128" s="294">
        <f t="shared" si="53"/>
        <v>0</v>
      </c>
      <c r="M128" s="294">
        <f t="shared" si="53"/>
        <v>0</v>
      </c>
      <c r="N128" s="294">
        <f t="shared" si="53"/>
        <v>0</v>
      </c>
      <c r="O128" s="294">
        <f t="shared" si="53"/>
        <v>0</v>
      </c>
      <c r="P128" s="294">
        <f t="shared" si="53"/>
        <v>0</v>
      </c>
      <c r="Q128" s="294">
        <f t="shared" si="53"/>
        <v>0</v>
      </c>
      <c r="R128" s="225">
        <f t="shared" si="50"/>
        <v>0</v>
      </c>
      <c r="S128">
        <f t="shared" si="51"/>
        <v>12</v>
      </c>
    </row>
    <row r="129" spans="2:19">
      <c r="B129" s="272" t="s">
        <v>50</v>
      </c>
      <c r="C129" s="274"/>
      <c r="D129" s="269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25">
        <f t="shared" si="50"/>
        <v>0</v>
      </c>
      <c r="S129">
        <f t="shared" si="51"/>
        <v>12</v>
      </c>
    </row>
    <row r="130" spans="2:19">
      <c r="B130" s="272" t="s">
        <v>51</v>
      </c>
      <c r="C130" s="274">
        <f>VLOOKUP(B130,'Budget Detail'!$A$16:$F$254,3,FALSE)</f>
        <v>8.99</v>
      </c>
      <c r="D130" s="269"/>
      <c r="E130" s="293"/>
      <c r="F130" s="293">
        <f t="shared" ref="F130:H133" si="54">($C130*0.75)/3</f>
        <v>2.2475000000000001</v>
      </c>
      <c r="G130" s="293">
        <f t="shared" si="54"/>
        <v>2.2475000000000001</v>
      </c>
      <c r="H130" s="293">
        <f t="shared" si="54"/>
        <v>2.2475000000000001</v>
      </c>
      <c r="I130" s="293">
        <f t="shared" ref="I130:P133" si="55">($C130*0.25)/$S130</f>
        <v>0.28093750000000001</v>
      </c>
      <c r="J130" s="293">
        <f t="shared" si="55"/>
        <v>0.28093750000000001</v>
      </c>
      <c r="K130" s="293">
        <f t="shared" si="55"/>
        <v>0.28093750000000001</v>
      </c>
      <c r="L130" s="293">
        <f t="shared" si="55"/>
        <v>0.28093750000000001</v>
      </c>
      <c r="M130" s="293">
        <f t="shared" si="55"/>
        <v>0.28093750000000001</v>
      </c>
      <c r="N130" s="293">
        <f t="shared" si="55"/>
        <v>0.28093750000000001</v>
      </c>
      <c r="O130" s="293">
        <f t="shared" si="55"/>
        <v>0.28093750000000001</v>
      </c>
      <c r="P130" s="293">
        <f t="shared" si="55"/>
        <v>0.28093750000000001</v>
      </c>
      <c r="Q130" s="293"/>
      <c r="R130" s="225">
        <f t="shared" si="50"/>
        <v>0</v>
      </c>
      <c r="S130">
        <v>8</v>
      </c>
    </row>
    <row r="131" spans="2:19">
      <c r="B131" s="272" t="s">
        <v>52</v>
      </c>
      <c r="C131" s="274">
        <f>VLOOKUP(B131,'Budget Detail'!$A$16:$F$254,3,FALSE)</f>
        <v>0</v>
      </c>
      <c r="D131" s="269"/>
      <c r="E131" s="293"/>
      <c r="F131" s="293">
        <f t="shared" si="54"/>
        <v>0</v>
      </c>
      <c r="G131" s="293">
        <f t="shared" si="54"/>
        <v>0</v>
      </c>
      <c r="H131" s="293">
        <f t="shared" si="54"/>
        <v>0</v>
      </c>
      <c r="I131" s="293">
        <f t="shared" si="55"/>
        <v>0</v>
      </c>
      <c r="J131" s="293">
        <f t="shared" si="55"/>
        <v>0</v>
      </c>
      <c r="K131" s="293">
        <f t="shared" si="55"/>
        <v>0</v>
      </c>
      <c r="L131" s="293">
        <f t="shared" si="55"/>
        <v>0</v>
      </c>
      <c r="M131" s="293">
        <f t="shared" si="55"/>
        <v>0</v>
      </c>
      <c r="N131" s="293">
        <f t="shared" si="55"/>
        <v>0</v>
      </c>
      <c r="O131" s="293">
        <f t="shared" si="55"/>
        <v>0</v>
      </c>
      <c r="P131" s="293">
        <f t="shared" si="55"/>
        <v>0</v>
      </c>
      <c r="Q131" s="293"/>
      <c r="R131" s="225">
        <f t="shared" si="50"/>
        <v>0</v>
      </c>
      <c r="S131">
        <v>8</v>
      </c>
    </row>
    <row r="132" spans="2:19">
      <c r="B132" s="272" t="s">
        <v>53</v>
      </c>
      <c r="C132" s="274">
        <f>VLOOKUP(B132,'Budget Detail'!$A$16:$F$254,3,FALSE)</f>
        <v>0</v>
      </c>
      <c r="D132" s="269"/>
      <c r="E132" s="293"/>
      <c r="F132" s="293">
        <f t="shared" si="54"/>
        <v>0</v>
      </c>
      <c r="G132" s="293">
        <f t="shared" si="54"/>
        <v>0</v>
      </c>
      <c r="H132" s="293">
        <f t="shared" si="54"/>
        <v>0</v>
      </c>
      <c r="I132" s="293">
        <f t="shared" si="55"/>
        <v>0</v>
      </c>
      <c r="J132" s="293">
        <f t="shared" si="55"/>
        <v>0</v>
      </c>
      <c r="K132" s="293">
        <f t="shared" si="55"/>
        <v>0</v>
      </c>
      <c r="L132" s="293">
        <f t="shared" si="55"/>
        <v>0</v>
      </c>
      <c r="M132" s="293">
        <f t="shared" si="55"/>
        <v>0</v>
      </c>
      <c r="N132" s="293">
        <f t="shared" si="55"/>
        <v>0</v>
      </c>
      <c r="O132" s="293">
        <f t="shared" si="55"/>
        <v>0</v>
      </c>
      <c r="P132" s="293">
        <f t="shared" si="55"/>
        <v>0</v>
      </c>
      <c r="Q132" s="293"/>
      <c r="R132" s="225">
        <f t="shared" si="50"/>
        <v>0</v>
      </c>
      <c r="S132">
        <v>8</v>
      </c>
    </row>
    <row r="133" spans="2:19">
      <c r="B133" s="272" t="s">
        <v>54</v>
      </c>
      <c r="C133" s="274">
        <f>VLOOKUP(B133,'Budget Detail'!$A$16:$F$254,3,FALSE)</f>
        <v>0</v>
      </c>
      <c r="D133" s="269"/>
      <c r="E133" s="293"/>
      <c r="F133" s="293">
        <f t="shared" si="54"/>
        <v>0</v>
      </c>
      <c r="G133" s="293">
        <f t="shared" si="54"/>
        <v>0</v>
      </c>
      <c r="H133" s="293">
        <f t="shared" si="54"/>
        <v>0</v>
      </c>
      <c r="I133" s="293">
        <f t="shared" si="55"/>
        <v>0</v>
      </c>
      <c r="J133" s="293">
        <f t="shared" si="55"/>
        <v>0</v>
      </c>
      <c r="K133" s="293">
        <f t="shared" si="55"/>
        <v>0</v>
      </c>
      <c r="L133" s="293">
        <f t="shared" si="55"/>
        <v>0</v>
      </c>
      <c r="M133" s="293">
        <f t="shared" si="55"/>
        <v>0</v>
      </c>
      <c r="N133" s="293">
        <f t="shared" si="55"/>
        <v>0</v>
      </c>
      <c r="O133" s="293">
        <f t="shared" si="55"/>
        <v>0</v>
      </c>
      <c r="P133" s="293">
        <f t="shared" si="55"/>
        <v>0</v>
      </c>
      <c r="Q133" s="293"/>
      <c r="R133" s="225">
        <f t="shared" si="50"/>
        <v>0</v>
      </c>
      <c r="S133">
        <v>8</v>
      </c>
    </row>
    <row r="134" spans="2:19">
      <c r="B134" s="272" t="s">
        <v>55</v>
      </c>
      <c r="C134" s="274">
        <f>VLOOKUP(B134,'Budget Detail'!$A$16:$F$254,3,FALSE)</f>
        <v>0</v>
      </c>
      <c r="D134" s="269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25">
        <f t="shared" si="50"/>
        <v>0</v>
      </c>
      <c r="S134">
        <f t="shared" ref="S134:S136" si="56">$S$2-2</f>
        <v>10</v>
      </c>
    </row>
    <row r="135" spans="2:19">
      <c r="B135" s="272" t="s">
        <v>56</v>
      </c>
      <c r="C135" s="274">
        <f>VLOOKUP(B135,'Budget Detail'!$A$16:$F$254,3,FALSE)</f>
        <v>0</v>
      </c>
      <c r="D135" s="269"/>
      <c r="E135" s="293"/>
      <c r="F135" s="293"/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25">
        <f t="shared" si="50"/>
        <v>0</v>
      </c>
      <c r="S135">
        <f t="shared" si="56"/>
        <v>10</v>
      </c>
    </row>
    <row r="136" spans="2:19">
      <c r="B136" s="272" t="s">
        <v>57</v>
      </c>
      <c r="C136" s="274">
        <f>VLOOKUP(B136,'Budget Detail'!$A$16:$F$254,3,FALSE)</f>
        <v>1620</v>
      </c>
      <c r="D136" s="269"/>
      <c r="E136" s="293"/>
      <c r="F136" s="293">
        <f t="shared" ref="F136" si="57">C136*0.75</f>
        <v>1215</v>
      </c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25">
        <f t="shared" si="50"/>
        <v>405</v>
      </c>
      <c r="S136">
        <f t="shared" si="56"/>
        <v>10</v>
      </c>
    </row>
    <row r="137" spans="2:19">
      <c r="B137" s="276" t="s">
        <v>58</v>
      </c>
      <c r="C137" s="277">
        <f>(((((((C129)+(C130))+(C131))+(C132))+(C133))+(C134))+(C135))+(C136)</f>
        <v>1628.99</v>
      </c>
      <c r="D137" s="270"/>
      <c r="E137" s="294">
        <f t="shared" ref="E137:Q137" si="58">(((((((E129)+(E130))+(E131))+(E132))+(E133))+(E134))+(E135))+(E136)</f>
        <v>0</v>
      </c>
      <c r="F137" s="294">
        <f t="shared" si="58"/>
        <v>1217.2474999999999</v>
      </c>
      <c r="G137" s="294">
        <f t="shared" si="58"/>
        <v>2.2475000000000001</v>
      </c>
      <c r="H137" s="294">
        <f t="shared" si="58"/>
        <v>2.2475000000000001</v>
      </c>
      <c r="I137" s="294">
        <f t="shared" si="58"/>
        <v>0.28093750000000001</v>
      </c>
      <c r="J137" s="294">
        <f t="shared" si="58"/>
        <v>0.28093750000000001</v>
      </c>
      <c r="K137" s="294">
        <f t="shared" si="58"/>
        <v>0.28093750000000001</v>
      </c>
      <c r="L137" s="294">
        <f t="shared" si="58"/>
        <v>0.28093750000000001</v>
      </c>
      <c r="M137" s="294">
        <f t="shared" si="58"/>
        <v>0.28093750000000001</v>
      </c>
      <c r="N137" s="294">
        <f t="shared" si="58"/>
        <v>0.28093750000000001</v>
      </c>
      <c r="O137" s="294">
        <f t="shared" si="58"/>
        <v>0.28093750000000001</v>
      </c>
      <c r="P137" s="294">
        <f t="shared" si="58"/>
        <v>0.28093750000000001</v>
      </c>
      <c r="Q137" s="294">
        <f t="shared" si="58"/>
        <v>0</v>
      </c>
      <c r="R137" s="225">
        <f t="shared" si="50"/>
        <v>405.00000000000068</v>
      </c>
      <c r="S137">
        <f t="shared" si="51"/>
        <v>12</v>
      </c>
    </row>
    <row r="138" spans="2:19">
      <c r="B138" s="272" t="s">
        <v>59</v>
      </c>
      <c r="C138" s="274"/>
      <c r="D138" s="269"/>
      <c r="E138" s="293"/>
      <c r="F138" s="293"/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25">
        <f t="shared" si="50"/>
        <v>0</v>
      </c>
      <c r="S138">
        <f t="shared" si="51"/>
        <v>12</v>
      </c>
    </row>
    <row r="139" spans="2:19">
      <c r="B139" s="272" t="s">
        <v>60</v>
      </c>
      <c r="C139" s="274">
        <f>VLOOKUP(B139,'Budget Detail'!$A$16:$F$254,3,FALSE)</f>
        <v>0</v>
      </c>
      <c r="D139" s="269"/>
      <c r="E139" s="293"/>
      <c r="F139" s="293">
        <f>($C139*0.75)/3</f>
        <v>0</v>
      </c>
      <c r="G139" s="293">
        <f t="shared" ref="G139:H139" si="59">($C139*0.75)/3</f>
        <v>0</v>
      </c>
      <c r="H139" s="293">
        <f t="shared" si="59"/>
        <v>0</v>
      </c>
      <c r="I139" s="293">
        <f t="shared" ref="I139:P139" si="60">($C139*0.25)/$S139</f>
        <v>0</v>
      </c>
      <c r="J139" s="293">
        <f t="shared" si="60"/>
        <v>0</v>
      </c>
      <c r="K139" s="293">
        <f t="shared" si="60"/>
        <v>0</v>
      </c>
      <c r="L139" s="293">
        <f t="shared" si="60"/>
        <v>0</v>
      </c>
      <c r="M139" s="293">
        <f t="shared" si="60"/>
        <v>0</v>
      </c>
      <c r="N139" s="293">
        <f t="shared" si="60"/>
        <v>0</v>
      </c>
      <c r="O139" s="293">
        <f t="shared" si="60"/>
        <v>0</v>
      </c>
      <c r="P139" s="293">
        <f t="shared" si="60"/>
        <v>0</v>
      </c>
      <c r="Q139" s="293"/>
      <c r="R139" s="225">
        <f t="shared" si="50"/>
        <v>0</v>
      </c>
      <c r="S139">
        <v>8</v>
      </c>
    </row>
    <row r="140" spans="2:19">
      <c r="B140" s="276" t="s">
        <v>61</v>
      </c>
      <c r="C140" s="277">
        <f>(C138)+(C139)</f>
        <v>0</v>
      </c>
      <c r="D140" s="270"/>
      <c r="E140" s="294">
        <f t="shared" ref="E140:Q140" si="61">(E138)+(E139)</f>
        <v>0</v>
      </c>
      <c r="F140" s="294">
        <f t="shared" si="61"/>
        <v>0</v>
      </c>
      <c r="G140" s="294">
        <f t="shared" si="61"/>
        <v>0</v>
      </c>
      <c r="H140" s="294">
        <f t="shared" si="61"/>
        <v>0</v>
      </c>
      <c r="I140" s="294">
        <f t="shared" si="61"/>
        <v>0</v>
      </c>
      <c r="J140" s="294">
        <f t="shared" si="61"/>
        <v>0</v>
      </c>
      <c r="K140" s="294">
        <f t="shared" si="61"/>
        <v>0</v>
      </c>
      <c r="L140" s="294">
        <f t="shared" si="61"/>
        <v>0</v>
      </c>
      <c r="M140" s="294">
        <f t="shared" si="61"/>
        <v>0</v>
      </c>
      <c r="N140" s="294">
        <f t="shared" si="61"/>
        <v>0</v>
      </c>
      <c r="O140" s="294">
        <f t="shared" si="61"/>
        <v>0</v>
      </c>
      <c r="P140" s="294">
        <f t="shared" si="61"/>
        <v>0</v>
      </c>
      <c r="Q140" s="294">
        <f t="shared" si="61"/>
        <v>0</v>
      </c>
      <c r="R140" s="225">
        <f t="shared" si="50"/>
        <v>0</v>
      </c>
      <c r="S140">
        <f t="shared" si="51"/>
        <v>12</v>
      </c>
    </row>
    <row r="141" spans="2:19">
      <c r="B141" s="272" t="s">
        <v>62</v>
      </c>
      <c r="C141" s="274"/>
      <c r="D141" s="269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25">
        <f t="shared" si="50"/>
        <v>0</v>
      </c>
      <c r="S141">
        <f t="shared" si="51"/>
        <v>12</v>
      </c>
    </row>
    <row r="142" spans="2:19">
      <c r="B142" s="272" t="s">
        <v>63</v>
      </c>
      <c r="C142" s="274">
        <f>VLOOKUP(B142,'Budget Detail'!$A$16:$F$254,3,FALSE)</f>
        <v>0</v>
      </c>
      <c r="D142" s="269"/>
      <c r="E142" s="293"/>
      <c r="F142" s="293">
        <f>($C142*0.75)/3</f>
        <v>0</v>
      </c>
      <c r="G142" s="293">
        <f t="shared" ref="G142:H142" si="62">($C142*0.75)/3</f>
        <v>0</v>
      </c>
      <c r="H142" s="293">
        <f t="shared" si="62"/>
        <v>0</v>
      </c>
      <c r="I142" s="293">
        <f t="shared" ref="I142:P142" si="63">($C142*0.25)/$S142</f>
        <v>0</v>
      </c>
      <c r="J142" s="293">
        <f t="shared" si="63"/>
        <v>0</v>
      </c>
      <c r="K142" s="293">
        <f t="shared" si="63"/>
        <v>0</v>
      </c>
      <c r="L142" s="293">
        <f t="shared" si="63"/>
        <v>0</v>
      </c>
      <c r="M142" s="293">
        <f t="shared" si="63"/>
        <v>0</v>
      </c>
      <c r="N142" s="293">
        <f t="shared" si="63"/>
        <v>0</v>
      </c>
      <c r="O142" s="293">
        <f t="shared" si="63"/>
        <v>0</v>
      </c>
      <c r="P142" s="293">
        <f t="shared" si="63"/>
        <v>0</v>
      </c>
      <c r="Q142" s="293"/>
      <c r="R142" s="225">
        <f t="shared" si="50"/>
        <v>0</v>
      </c>
      <c r="S142">
        <v>8</v>
      </c>
    </row>
    <row r="143" spans="2:19">
      <c r="B143" s="272" t="s">
        <v>349</v>
      </c>
      <c r="C143" s="274">
        <f>VLOOKUP(B143,'Budget Detail'!$A$16:$F$254,3,FALSE)</f>
        <v>0</v>
      </c>
      <c r="D143" s="269"/>
      <c r="E143" s="293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25">
        <f t="shared" si="50"/>
        <v>0</v>
      </c>
      <c r="S143">
        <f t="shared" ref="S143" si="64">$S$2-2</f>
        <v>10</v>
      </c>
    </row>
    <row r="144" spans="2:19">
      <c r="B144" s="278" t="s">
        <v>271</v>
      </c>
      <c r="C144" s="274">
        <f>VLOOKUP(B144,'Budget Detail'!$A$16:$F$254,3,FALSE)</f>
        <v>0</v>
      </c>
      <c r="D144" s="269"/>
      <c r="E144" s="293"/>
      <c r="F144" s="293">
        <f>($C144*0.75)/3</f>
        <v>0</v>
      </c>
      <c r="G144" s="293">
        <f t="shared" ref="G144:H144" si="65">($C144*0.75)/3</f>
        <v>0</v>
      </c>
      <c r="H144" s="293">
        <f t="shared" si="65"/>
        <v>0</v>
      </c>
      <c r="I144" s="293">
        <f t="shared" ref="I144:P144" si="66">($C144*0.25)/$S144</f>
        <v>0</v>
      </c>
      <c r="J144" s="293">
        <f t="shared" si="66"/>
        <v>0</v>
      </c>
      <c r="K144" s="293">
        <f t="shared" si="66"/>
        <v>0</v>
      </c>
      <c r="L144" s="293">
        <f t="shared" si="66"/>
        <v>0</v>
      </c>
      <c r="M144" s="293">
        <f t="shared" si="66"/>
        <v>0</v>
      </c>
      <c r="N144" s="293">
        <f t="shared" si="66"/>
        <v>0</v>
      </c>
      <c r="O144" s="293">
        <f t="shared" si="66"/>
        <v>0</v>
      </c>
      <c r="P144" s="293">
        <f t="shared" si="66"/>
        <v>0</v>
      </c>
      <c r="Q144" s="293"/>
      <c r="R144" s="225">
        <f t="shared" si="50"/>
        <v>0</v>
      </c>
      <c r="S144">
        <v>8</v>
      </c>
    </row>
    <row r="145" spans="2:19">
      <c r="B145" s="272" t="s">
        <v>64</v>
      </c>
      <c r="C145" s="274">
        <f>VLOOKUP(B145,'Budget Detail'!$A$16:$F$254,3,FALSE)</f>
        <v>0</v>
      </c>
      <c r="D145" s="269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25">
        <f t="shared" si="50"/>
        <v>0</v>
      </c>
      <c r="S145">
        <f t="shared" si="51"/>
        <v>12</v>
      </c>
    </row>
    <row r="146" spans="2:19">
      <c r="B146" s="276" t="s">
        <v>65</v>
      </c>
      <c r="C146" s="277">
        <f>((((C141)+(C142))+(C143))+(C144))+(C145)</f>
        <v>0</v>
      </c>
      <c r="D146" s="270"/>
      <c r="E146" s="294">
        <f t="shared" ref="E146:Q146" si="67">((((E141)+(E142))+(E143))+(E144))+(E145)</f>
        <v>0</v>
      </c>
      <c r="F146" s="294">
        <f t="shared" si="67"/>
        <v>0</v>
      </c>
      <c r="G146" s="294">
        <f t="shared" si="67"/>
        <v>0</v>
      </c>
      <c r="H146" s="294">
        <f t="shared" si="67"/>
        <v>0</v>
      </c>
      <c r="I146" s="294">
        <f t="shared" si="67"/>
        <v>0</v>
      </c>
      <c r="J146" s="294">
        <f t="shared" si="67"/>
        <v>0</v>
      </c>
      <c r="K146" s="294">
        <f t="shared" si="67"/>
        <v>0</v>
      </c>
      <c r="L146" s="294">
        <f t="shared" si="67"/>
        <v>0</v>
      </c>
      <c r="M146" s="294">
        <f t="shared" si="67"/>
        <v>0</v>
      </c>
      <c r="N146" s="294">
        <f t="shared" si="67"/>
        <v>0</v>
      </c>
      <c r="O146" s="294">
        <f t="shared" si="67"/>
        <v>0</v>
      </c>
      <c r="P146" s="294">
        <f t="shared" si="67"/>
        <v>0</v>
      </c>
      <c r="Q146" s="294">
        <f t="shared" si="67"/>
        <v>0</v>
      </c>
      <c r="R146" s="225">
        <f t="shared" si="50"/>
        <v>0</v>
      </c>
      <c r="S146">
        <f t="shared" si="51"/>
        <v>12</v>
      </c>
    </row>
    <row r="147" spans="2:19">
      <c r="B147" s="272" t="s">
        <v>66</v>
      </c>
      <c r="C147" s="274"/>
      <c r="D147" s="269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25">
        <f t="shared" si="50"/>
        <v>0</v>
      </c>
      <c r="S147">
        <f t="shared" si="51"/>
        <v>12</v>
      </c>
    </row>
    <row r="148" spans="2:19">
      <c r="B148" s="272" t="s">
        <v>67</v>
      </c>
      <c r="C148" s="274">
        <f>VLOOKUP(B148,'Budget Detail'!$A$16:$F$254,3,FALSE)</f>
        <v>0</v>
      </c>
      <c r="D148" s="269"/>
      <c r="E148" s="293"/>
      <c r="F148" s="293">
        <f>($C148*0.75)/3</f>
        <v>0</v>
      </c>
      <c r="G148" s="293">
        <f t="shared" ref="G148:H148" si="68">($C148*0.75)/3</f>
        <v>0</v>
      </c>
      <c r="H148" s="293">
        <f t="shared" si="68"/>
        <v>0</v>
      </c>
      <c r="I148" s="293">
        <f t="shared" ref="I148:P148" si="69">($C148*0.25)/$S148</f>
        <v>0</v>
      </c>
      <c r="J148" s="293">
        <f t="shared" si="69"/>
        <v>0</v>
      </c>
      <c r="K148" s="293">
        <f t="shared" si="69"/>
        <v>0</v>
      </c>
      <c r="L148" s="293">
        <f t="shared" si="69"/>
        <v>0</v>
      </c>
      <c r="M148" s="293">
        <f t="shared" si="69"/>
        <v>0</v>
      </c>
      <c r="N148" s="293">
        <f t="shared" si="69"/>
        <v>0</v>
      </c>
      <c r="O148" s="293">
        <f t="shared" si="69"/>
        <v>0</v>
      </c>
      <c r="P148" s="293">
        <f t="shared" si="69"/>
        <v>0</v>
      </c>
      <c r="Q148" s="293"/>
      <c r="R148" s="225">
        <f t="shared" si="50"/>
        <v>0</v>
      </c>
      <c r="S148">
        <v>8</v>
      </c>
    </row>
    <row r="149" spans="2:19">
      <c r="B149" s="272" t="s">
        <v>68</v>
      </c>
      <c r="C149" s="274">
        <f>VLOOKUP(B149,'Budget Detail'!$A$16:$F$254,3,FALSE)</f>
        <v>0</v>
      </c>
      <c r="D149" s="269"/>
      <c r="E149" s="293"/>
      <c r="F149" s="292">
        <f t="shared" ref="F149:P149" si="70">$C149/$S149</f>
        <v>0</v>
      </c>
      <c r="G149" s="292">
        <f t="shared" si="70"/>
        <v>0</v>
      </c>
      <c r="H149" s="292">
        <f t="shared" si="70"/>
        <v>0</v>
      </c>
      <c r="I149" s="292">
        <f t="shared" si="70"/>
        <v>0</v>
      </c>
      <c r="J149" s="292">
        <f t="shared" si="70"/>
        <v>0</v>
      </c>
      <c r="K149" s="292">
        <f t="shared" si="70"/>
        <v>0</v>
      </c>
      <c r="L149" s="292">
        <f t="shared" si="70"/>
        <v>0</v>
      </c>
      <c r="M149" s="292">
        <f t="shared" si="70"/>
        <v>0</v>
      </c>
      <c r="N149" s="292">
        <f t="shared" si="70"/>
        <v>0</v>
      </c>
      <c r="O149" s="292">
        <f t="shared" si="70"/>
        <v>0</v>
      </c>
      <c r="P149" s="292">
        <f t="shared" si="70"/>
        <v>0</v>
      </c>
      <c r="Q149" s="293"/>
      <c r="R149" s="225">
        <f t="shared" si="50"/>
        <v>0</v>
      </c>
      <c r="S149">
        <v>11</v>
      </c>
    </row>
    <row r="150" spans="2:19">
      <c r="B150" s="272" t="s">
        <v>69</v>
      </c>
      <c r="C150" s="274">
        <f>VLOOKUP(B150,'Budget Detail'!$A$16:$F$254,3,FALSE)</f>
        <v>0</v>
      </c>
      <c r="D150" s="269"/>
      <c r="E150" s="293"/>
      <c r="F150" s="293"/>
      <c r="G150" s="293"/>
      <c r="H150" s="293"/>
      <c r="I150" s="293"/>
      <c r="J150" s="293">
        <f>C150/2</f>
        <v>0</v>
      </c>
      <c r="K150" s="293"/>
      <c r="L150" s="293"/>
      <c r="M150" s="293"/>
      <c r="N150" s="293"/>
      <c r="O150" s="293"/>
      <c r="P150" s="293">
        <f>C150/2</f>
        <v>0</v>
      </c>
      <c r="Q150" s="293"/>
      <c r="R150" s="225">
        <f t="shared" si="50"/>
        <v>0</v>
      </c>
      <c r="S150">
        <f t="shared" ref="S150" si="71">$S$2-2</f>
        <v>10</v>
      </c>
    </row>
    <row r="151" spans="2:19">
      <c r="B151" s="276" t="s">
        <v>70</v>
      </c>
      <c r="C151" s="277">
        <f>(((C147)+(C148))+(C149))+(C150)</f>
        <v>0</v>
      </c>
      <c r="D151" s="270"/>
      <c r="E151" s="294">
        <f t="shared" ref="E151:Q151" si="72">(((E147)+(E148))+(E149))+(E150)</f>
        <v>0</v>
      </c>
      <c r="F151" s="294">
        <f t="shared" si="72"/>
        <v>0</v>
      </c>
      <c r="G151" s="294">
        <f t="shared" si="72"/>
        <v>0</v>
      </c>
      <c r="H151" s="294">
        <f t="shared" si="72"/>
        <v>0</v>
      </c>
      <c r="I151" s="294">
        <f t="shared" si="72"/>
        <v>0</v>
      </c>
      <c r="J151" s="294">
        <f t="shared" si="72"/>
        <v>0</v>
      </c>
      <c r="K151" s="294">
        <f t="shared" si="72"/>
        <v>0</v>
      </c>
      <c r="L151" s="294">
        <f t="shared" si="72"/>
        <v>0</v>
      </c>
      <c r="M151" s="294">
        <f t="shared" si="72"/>
        <v>0</v>
      </c>
      <c r="N151" s="294">
        <f t="shared" si="72"/>
        <v>0</v>
      </c>
      <c r="O151" s="294">
        <f t="shared" si="72"/>
        <v>0</v>
      </c>
      <c r="P151" s="294">
        <f t="shared" si="72"/>
        <v>0</v>
      </c>
      <c r="Q151" s="294">
        <f t="shared" si="72"/>
        <v>0</v>
      </c>
      <c r="R151" s="225">
        <f t="shared" si="50"/>
        <v>0</v>
      </c>
      <c r="S151">
        <f t="shared" si="51"/>
        <v>12</v>
      </c>
    </row>
    <row r="152" spans="2:19">
      <c r="B152" s="272" t="s">
        <v>71</v>
      </c>
      <c r="C152" s="274"/>
      <c r="D152" s="269"/>
      <c r="E152" s="293"/>
      <c r="F152" s="293"/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25">
        <f t="shared" si="50"/>
        <v>0</v>
      </c>
      <c r="S152">
        <f t="shared" si="51"/>
        <v>12</v>
      </c>
    </row>
    <row r="153" spans="2:19">
      <c r="B153" s="272" t="s">
        <v>72</v>
      </c>
      <c r="C153" s="274">
        <f>VLOOKUP(B153,'Budget Detail'!$A$16:$F$254,3,FALSE)</f>
        <v>0</v>
      </c>
      <c r="D153" s="269"/>
      <c r="E153" s="292">
        <f t="shared" ref="E153:P157" si="73">$C153/$S153</f>
        <v>0</v>
      </c>
      <c r="F153" s="292">
        <f t="shared" si="73"/>
        <v>0</v>
      </c>
      <c r="G153" s="292">
        <f t="shared" si="73"/>
        <v>0</v>
      </c>
      <c r="H153" s="292">
        <f t="shared" si="73"/>
        <v>0</v>
      </c>
      <c r="I153" s="292">
        <f t="shared" si="73"/>
        <v>0</v>
      </c>
      <c r="J153" s="292">
        <f t="shared" si="73"/>
        <v>0</v>
      </c>
      <c r="K153" s="292">
        <f t="shared" si="73"/>
        <v>0</v>
      </c>
      <c r="L153" s="292">
        <f t="shared" si="73"/>
        <v>0</v>
      </c>
      <c r="M153" s="292">
        <f t="shared" si="73"/>
        <v>0</v>
      </c>
      <c r="N153" s="292">
        <f t="shared" si="73"/>
        <v>0</v>
      </c>
      <c r="O153" s="292">
        <f t="shared" si="73"/>
        <v>0</v>
      </c>
      <c r="P153" s="292">
        <f t="shared" si="73"/>
        <v>0</v>
      </c>
      <c r="Q153" s="293"/>
      <c r="R153" s="225">
        <f t="shared" si="50"/>
        <v>0</v>
      </c>
      <c r="S153">
        <f t="shared" si="51"/>
        <v>12</v>
      </c>
    </row>
    <row r="154" spans="2:19">
      <c r="B154" s="278" t="s">
        <v>439</v>
      </c>
      <c r="C154" s="274">
        <f>VLOOKUP(B154,'Budget Detail'!$A$16:$F$254,3,FALSE)</f>
        <v>4752.29</v>
      </c>
      <c r="D154" s="269"/>
      <c r="E154" s="292">
        <f t="shared" si="73"/>
        <v>396.02416666666664</v>
      </c>
      <c r="F154" s="292">
        <f t="shared" si="73"/>
        <v>396.02416666666664</v>
      </c>
      <c r="G154" s="292">
        <f t="shared" si="73"/>
        <v>396.02416666666664</v>
      </c>
      <c r="H154" s="292">
        <f t="shared" si="73"/>
        <v>396.02416666666664</v>
      </c>
      <c r="I154" s="292">
        <f t="shared" si="73"/>
        <v>396.02416666666664</v>
      </c>
      <c r="J154" s="292">
        <f t="shared" si="73"/>
        <v>396.02416666666664</v>
      </c>
      <c r="K154" s="292">
        <f t="shared" si="73"/>
        <v>396.02416666666664</v>
      </c>
      <c r="L154" s="292">
        <f t="shared" si="73"/>
        <v>396.02416666666664</v>
      </c>
      <c r="M154" s="292">
        <f t="shared" si="73"/>
        <v>396.02416666666664</v>
      </c>
      <c r="N154" s="292">
        <f t="shared" si="73"/>
        <v>396.02416666666664</v>
      </c>
      <c r="O154" s="292">
        <f t="shared" si="73"/>
        <v>396.02416666666664</v>
      </c>
      <c r="P154" s="292">
        <f t="shared" si="73"/>
        <v>396.02416666666664</v>
      </c>
      <c r="Q154" s="293"/>
      <c r="R154" s="225">
        <f t="shared" si="50"/>
        <v>0</v>
      </c>
      <c r="S154">
        <f t="shared" si="51"/>
        <v>12</v>
      </c>
    </row>
    <row r="155" spans="2:19">
      <c r="B155" s="278" t="s">
        <v>440</v>
      </c>
      <c r="C155" s="274">
        <f>VLOOKUP(B155,'Budget Detail'!$A$16:$F$254,3,FALSE)</f>
        <v>6019.87</v>
      </c>
      <c r="D155" s="269"/>
      <c r="E155" s="292">
        <f t="shared" si="73"/>
        <v>501.65583333333331</v>
      </c>
      <c r="F155" s="292">
        <f t="shared" si="73"/>
        <v>501.65583333333331</v>
      </c>
      <c r="G155" s="292">
        <f t="shared" si="73"/>
        <v>501.65583333333331</v>
      </c>
      <c r="H155" s="292">
        <f t="shared" si="73"/>
        <v>501.65583333333331</v>
      </c>
      <c r="I155" s="292">
        <f t="shared" si="73"/>
        <v>501.65583333333331</v>
      </c>
      <c r="J155" s="292">
        <f t="shared" si="73"/>
        <v>501.65583333333331</v>
      </c>
      <c r="K155" s="292">
        <f t="shared" si="73"/>
        <v>501.65583333333331</v>
      </c>
      <c r="L155" s="292">
        <f t="shared" si="73"/>
        <v>501.65583333333331</v>
      </c>
      <c r="M155" s="292">
        <f t="shared" si="73"/>
        <v>501.65583333333331</v>
      </c>
      <c r="N155" s="292">
        <f t="shared" si="73"/>
        <v>501.65583333333331</v>
      </c>
      <c r="O155" s="292">
        <f t="shared" si="73"/>
        <v>501.65583333333331</v>
      </c>
      <c r="P155" s="292">
        <f t="shared" si="73"/>
        <v>501.65583333333331</v>
      </c>
      <c r="Q155" s="293"/>
      <c r="R155" s="225">
        <f t="shared" si="50"/>
        <v>0</v>
      </c>
      <c r="S155">
        <f t="shared" si="51"/>
        <v>12</v>
      </c>
    </row>
    <row r="156" spans="2:19">
      <c r="B156" s="278" t="s">
        <v>441</v>
      </c>
      <c r="C156" s="274">
        <f>VLOOKUP(B156,'Budget Detail'!$A$16:$F$254,3,FALSE)</f>
        <v>169.99</v>
      </c>
      <c r="D156" s="269"/>
      <c r="E156" s="292">
        <f t="shared" si="73"/>
        <v>14.165833333333333</v>
      </c>
      <c r="F156" s="292">
        <f t="shared" si="73"/>
        <v>14.165833333333333</v>
      </c>
      <c r="G156" s="292">
        <f t="shared" si="73"/>
        <v>14.165833333333333</v>
      </c>
      <c r="H156" s="292">
        <f t="shared" si="73"/>
        <v>14.165833333333333</v>
      </c>
      <c r="I156" s="292">
        <f t="shared" si="73"/>
        <v>14.165833333333333</v>
      </c>
      <c r="J156" s="292">
        <f t="shared" si="73"/>
        <v>14.165833333333333</v>
      </c>
      <c r="K156" s="292">
        <f t="shared" si="73"/>
        <v>14.165833333333333</v>
      </c>
      <c r="L156" s="292">
        <f t="shared" si="73"/>
        <v>14.165833333333333</v>
      </c>
      <c r="M156" s="292">
        <f t="shared" si="73"/>
        <v>14.165833333333333</v>
      </c>
      <c r="N156" s="292">
        <f t="shared" si="73"/>
        <v>14.165833333333333</v>
      </c>
      <c r="O156" s="292">
        <f t="shared" si="73"/>
        <v>14.165833333333333</v>
      </c>
      <c r="P156" s="292">
        <f t="shared" si="73"/>
        <v>14.165833333333333</v>
      </c>
      <c r="Q156" s="293"/>
      <c r="R156" s="225">
        <f t="shared" si="50"/>
        <v>0</v>
      </c>
      <c r="S156">
        <f t="shared" si="51"/>
        <v>12</v>
      </c>
    </row>
    <row r="157" spans="2:19">
      <c r="B157" s="278" t="s">
        <v>442</v>
      </c>
      <c r="C157" s="274">
        <f>VLOOKUP(B157,'Budget Detail'!$A$16:$F$254,3,FALSE)</f>
        <v>2760.37</v>
      </c>
      <c r="D157" s="269"/>
      <c r="E157" s="292">
        <f t="shared" si="73"/>
        <v>230.03083333333333</v>
      </c>
      <c r="F157" s="292">
        <f t="shared" si="73"/>
        <v>230.03083333333333</v>
      </c>
      <c r="G157" s="292">
        <f t="shared" si="73"/>
        <v>230.03083333333333</v>
      </c>
      <c r="H157" s="292">
        <f t="shared" si="73"/>
        <v>230.03083333333333</v>
      </c>
      <c r="I157" s="292">
        <f t="shared" si="73"/>
        <v>230.03083333333333</v>
      </c>
      <c r="J157" s="292">
        <f t="shared" si="73"/>
        <v>230.03083333333333</v>
      </c>
      <c r="K157" s="292">
        <f t="shared" si="73"/>
        <v>230.03083333333333</v>
      </c>
      <c r="L157" s="292">
        <f t="shared" si="73"/>
        <v>230.03083333333333</v>
      </c>
      <c r="M157" s="292">
        <f t="shared" si="73"/>
        <v>230.03083333333333</v>
      </c>
      <c r="N157" s="292">
        <f t="shared" si="73"/>
        <v>230.03083333333333</v>
      </c>
      <c r="O157" s="292">
        <f t="shared" si="73"/>
        <v>230.03083333333333</v>
      </c>
      <c r="P157" s="292">
        <f t="shared" si="73"/>
        <v>230.03083333333333</v>
      </c>
      <c r="Q157" s="293"/>
      <c r="R157" s="225">
        <f t="shared" si="50"/>
        <v>0</v>
      </c>
      <c r="S157">
        <f t="shared" si="51"/>
        <v>12</v>
      </c>
    </row>
    <row r="158" spans="2:19">
      <c r="B158" s="276" t="s">
        <v>73</v>
      </c>
      <c r="C158" s="277">
        <f>(((((C152)+(C153))+(C154))+(C155))+(C156))+(C157)</f>
        <v>13702.52</v>
      </c>
      <c r="D158" s="270"/>
      <c r="E158" s="294">
        <f t="shared" ref="E158:Q158" si="74">(((((E152)+(E153))+(E154))+(E155))+(E156))+(E157)</f>
        <v>1141.8766666666666</v>
      </c>
      <c r="F158" s="294">
        <f t="shared" si="74"/>
        <v>1141.8766666666666</v>
      </c>
      <c r="G158" s="294">
        <f t="shared" si="74"/>
        <v>1141.8766666666666</v>
      </c>
      <c r="H158" s="294">
        <f t="shared" si="74"/>
        <v>1141.8766666666666</v>
      </c>
      <c r="I158" s="294">
        <f t="shared" si="74"/>
        <v>1141.8766666666666</v>
      </c>
      <c r="J158" s="294">
        <f t="shared" si="74"/>
        <v>1141.8766666666666</v>
      </c>
      <c r="K158" s="294">
        <f t="shared" si="74"/>
        <v>1141.8766666666666</v>
      </c>
      <c r="L158" s="294">
        <f t="shared" si="74"/>
        <v>1141.8766666666666</v>
      </c>
      <c r="M158" s="294">
        <f t="shared" si="74"/>
        <v>1141.8766666666666</v>
      </c>
      <c r="N158" s="294">
        <f t="shared" si="74"/>
        <v>1141.8766666666666</v>
      </c>
      <c r="O158" s="294">
        <f t="shared" si="74"/>
        <v>1141.8766666666666</v>
      </c>
      <c r="P158" s="294">
        <f t="shared" si="74"/>
        <v>1141.8766666666666</v>
      </c>
      <c r="Q158" s="294">
        <f t="shared" si="74"/>
        <v>0</v>
      </c>
      <c r="R158" s="225">
        <f t="shared" si="50"/>
        <v>0</v>
      </c>
      <c r="S158">
        <f t="shared" si="51"/>
        <v>12</v>
      </c>
    </row>
    <row r="159" spans="2:19">
      <c r="B159" s="272" t="s">
        <v>453</v>
      </c>
      <c r="C159" s="274"/>
      <c r="D159" s="269"/>
      <c r="E159" s="293"/>
      <c r="F159" s="293"/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25">
        <f t="shared" si="50"/>
        <v>0</v>
      </c>
      <c r="S159">
        <f t="shared" si="51"/>
        <v>12</v>
      </c>
    </row>
    <row r="160" spans="2:19">
      <c r="B160" s="272" t="s">
        <v>454</v>
      </c>
      <c r="C160" s="274">
        <f>VLOOKUP(B160,'Budget Detail'!$A$16:$F$254,3,FALSE)</f>
        <v>0</v>
      </c>
      <c r="D160" s="269"/>
      <c r="E160" s="292">
        <f t="shared" ref="E160:P161" si="75">$C160/$S160</f>
        <v>0</v>
      </c>
      <c r="F160" s="292">
        <f t="shared" si="75"/>
        <v>0</v>
      </c>
      <c r="G160" s="292">
        <f t="shared" si="75"/>
        <v>0</v>
      </c>
      <c r="H160" s="292">
        <f t="shared" si="75"/>
        <v>0</v>
      </c>
      <c r="I160" s="292">
        <f t="shared" si="75"/>
        <v>0</v>
      </c>
      <c r="J160" s="292">
        <f t="shared" si="75"/>
        <v>0</v>
      </c>
      <c r="K160" s="292">
        <f t="shared" si="75"/>
        <v>0</v>
      </c>
      <c r="L160" s="292">
        <f t="shared" si="75"/>
        <v>0</v>
      </c>
      <c r="M160" s="292">
        <f t="shared" si="75"/>
        <v>0</v>
      </c>
      <c r="N160" s="292">
        <f t="shared" si="75"/>
        <v>0</v>
      </c>
      <c r="O160" s="292">
        <f t="shared" si="75"/>
        <v>0</v>
      </c>
      <c r="P160" s="292">
        <f t="shared" si="75"/>
        <v>0</v>
      </c>
      <c r="Q160" s="293"/>
      <c r="R160" s="225">
        <f t="shared" si="50"/>
        <v>0</v>
      </c>
      <c r="S160">
        <f t="shared" si="51"/>
        <v>12</v>
      </c>
    </row>
    <row r="161" spans="2:21">
      <c r="B161" s="272" t="s">
        <v>74</v>
      </c>
      <c r="C161" s="274">
        <f>VLOOKUP(B161,'Budget Detail'!$A$16:$F$254,3,FALSE)</f>
        <v>0</v>
      </c>
      <c r="D161" s="269"/>
      <c r="E161" s="292">
        <f t="shared" si="75"/>
        <v>0</v>
      </c>
      <c r="F161" s="292">
        <f t="shared" si="75"/>
        <v>0</v>
      </c>
      <c r="G161" s="292">
        <f t="shared" si="75"/>
        <v>0</v>
      </c>
      <c r="H161" s="292">
        <f t="shared" si="75"/>
        <v>0</v>
      </c>
      <c r="I161" s="292">
        <f t="shared" si="75"/>
        <v>0</v>
      </c>
      <c r="J161" s="292">
        <f t="shared" si="75"/>
        <v>0</v>
      </c>
      <c r="K161" s="292">
        <f t="shared" si="75"/>
        <v>0</v>
      </c>
      <c r="L161" s="292">
        <f t="shared" si="75"/>
        <v>0</v>
      </c>
      <c r="M161" s="292">
        <f t="shared" si="75"/>
        <v>0</v>
      </c>
      <c r="N161" s="292">
        <f t="shared" si="75"/>
        <v>0</v>
      </c>
      <c r="O161" s="292">
        <f t="shared" si="75"/>
        <v>0</v>
      </c>
      <c r="P161" s="292">
        <f t="shared" si="75"/>
        <v>0</v>
      </c>
      <c r="Q161" s="293"/>
      <c r="R161" s="225">
        <f t="shared" si="50"/>
        <v>0</v>
      </c>
      <c r="S161">
        <f t="shared" si="51"/>
        <v>12</v>
      </c>
    </row>
    <row r="162" spans="2:21">
      <c r="B162" s="276" t="s">
        <v>455</v>
      </c>
      <c r="C162" s="277">
        <f>((C159)+(C160))+(C161)</f>
        <v>0</v>
      </c>
      <c r="D162" s="270"/>
      <c r="E162" s="294">
        <f t="shared" ref="E162:Q162" si="76">((E159)+(E160))+(E161)</f>
        <v>0</v>
      </c>
      <c r="F162" s="294">
        <f t="shared" si="76"/>
        <v>0</v>
      </c>
      <c r="G162" s="294">
        <f t="shared" si="76"/>
        <v>0</v>
      </c>
      <c r="H162" s="294">
        <f t="shared" si="76"/>
        <v>0</v>
      </c>
      <c r="I162" s="294">
        <f t="shared" si="76"/>
        <v>0</v>
      </c>
      <c r="J162" s="294">
        <f t="shared" si="76"/>
        <v>0</v>
      </c>
      <c r="K162" s="294">
        <f t="shared" si="76"/>
        <v>0</v>
      </c>
      <c r="L162" s="294">
        <f t="shared" si="76"/>
        <v>0</v>
      </c>
      <c r="M162" s="294">
        <f t="shared" si="76"/>
        <v>0</v>
      </c>
      <c r="N162" s="294">
        <f t="shared" si="76"/>
        <v>0</v>
      </c>
      <c r="O162" s="294">
        <f t="shared" si="76"/>
        <v>0</v>
      </c>
      <c r="P162" s="294">
        <f t="shared" si="76"/>
        <v>0</v>
      </c>
      <c r="Q162" s="294">
        <f t="shared" si="76"/>
        <v>0</v>
      </c>
      <c r="R162" s="225">
        <f t="shared" si="50"/>
        <v>0</v>
      </c>
      <c r="S162">
        <f t="shared" si="51"/>
        <v>12</v>
      </c>
    </row>
    <row r="163" spans="2:21">
      <c r="B163" s="272" t="s">
        <v>75</v>
      </c>
      <c r="C163" s="274"/>
      <c r="D163" s="269"/>
      <c r="E163" s="293"/>
      <c r="F163" s="293"/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25">
        <f t="shared" si="50"/>
        <v>0</v>
      </c>
      <c r="S163">
        <f t="shared" si="51"/>
        <v>12</v>
      </c>
    </row>
    <row r="164" spans="2:21">
      <c r="B164" s="272" t="s">
        <v>76</v>
      </c>
      <c r="C164" s="274">
        <f>VLOOKUP(B164,'Budget Detail'!$A$16:$F$254,3,FALSE)</f>
        <v>0</v>
      </c>
      <c r="D164" s="269"/>
      <c r="E164" s="292">
        <f t="shared" ref="E164:P168" si="77">$C164/$S164</f>
        <v>0</v>
      </c>
      <c r="F164" s="292">
        <f t="shared" si="77"/>
        <v>0</v>
      </c>
      <c r="G164" s="292">
        <f t="shared" si="77"/>
        <v>0</v>
      </c>
      <c r="H164" s="292">
        <f t="shared" si="77"/>
        <v>0</v>
      </c>
      <c r="I164" s="292">
        <f t="shared" si="77"/>
        <v>0</v>
      </c>
      <c r="J164" s="292">
        <f t="shared" si="77"/>
        <v>0</v>
      </c>
      <c r="K164" s="292">
        <f t="shared" si="77"/>
        <v>0</v>
      </c>
      <c r="L164" s="292">
        <f t="shared" si="77"/>
        <v>0</v>
      </c>
      <c r="M164" s="292">
        <f t="shared" si="77"/>
        <v>0</v>
      </c>
      <c r="N164" s="292">
        <f t="shared" si="77"/>
        <v>0</v>
      </c>
      <c r="O164" s="292">
        <f t="shared" si="77"/>
        <v>0</v>
      </c>
      <c r="P164" s="292">
        <f t="shared" si="77"/>
        <v>0</v>
      </c>
      <c r="Q164" s="293"/>
      <c r="R164" s="225">
        <f t="shared" si="50"/>
        <v>0</v>
      </c>
      <c r="S164">
        <f t="shared" si="51"/>
        <v>12</v>
      </c>
    </row>
    <row r="165" spans="2:21">
      <c r="B165" s="272" t="s">
        <v>77</v>
      </c>
      <c r="C165" s="274">
        <f>VLOOKUP(B165,'Budget Detail'!$A$16:$F$254,3,FALSE)</f>
        <v>3777</v>
      </c>
      <c r="D165" s="269"/>
      <c r="E165" s="292">
        <f t="shared" si="77"/>
        <v>314.75</v>
      </c>
      <c r="F165" s="292">
        <f t="shared" si="77"/>
        <v>314.75</v>
      </c>
      <c r="G165" s="292">
        <f t="shared" si="77"/>
        <v>314.75</v>
      </c>
      <c r="H165" s="292">
        <f t="shared" si="77"/>
        <v>314.75</v>
      </c>
      <c r="I165" s="292">
        <f t="shared" si="77"/>
        <v>314.75</v>
      </c>
      <c r="J165" s="292">
        <f t="shared" si="77"/>
        <v>314.75</v>
      </c>
      <c r="K165" s="292">
        <f t="shared" si="77"/>
        <v>314.75</v>
      </c>
      <c r="L165" s="292">
        <f t="shared" si="77"/>
        <v>314.75</v>
      </c>
      <c r="M165" s="292">
        <f t="shared" si="77"/>
        <v>314.75</v>
      </c>
      <c r="N165" s="292">
        <f t="shared" si="77"/>
        <v>314.75</v>
      </c>
      <c r="O165" s="292">
        <f t="shared" si="77"/>
        <v>314.75</v>
      </c>
      <c r="P165" s="292">
        <f t="shared" si="77"/>
        <v>314.75</v>
      </c>
      <c r="Q165" s="293"/>
      <c r="R165" s="225">
        <f t="shared" si="50"/>
        <v>0</v>
      </c>
      <c r="S165">
        <f t="shared" si="51"/>
        <v>12</v>
      </c>
    </row>
    <row r="166" spans="2:21">
      <c r="B166" s="272" t="s">
        <v>78</v>
      </c>
      <c r="C166" s="274">
        <f>VLOOKUP(B166,'Budget Detail'!$A$16:$F$254,3,FALSE)</f>
        <v>3867.29</v>
      </c>
      <c r="D166" s="269"/>
      <c r="E166" s="292">
        <f t="shared" si="77"/>
        <v>322.27416666666664</v>
      </c>
      <c r="F166" s="292">
        <f t="shared" si="77"/>
        <v>322.27416666666664</v>
      </c>
      <c r="G166" s="292">
        <f t="shared" si="77"/>
        <v>322.27416666666664</v>
      </c>
      <c r="H166" s="292">
        <f t="shared" si="77"/>
        <v>322.27416666666664</v>
      </c>
      <c r="I166" s="292">
        <f t="shared" si="77"/>
        <v>322.27416666666664</v>
      </c>
      <c r="J166" s="292">
        <f t="shared" si="77"/>
        <v>322.27416666666664</v>
      </c>
      <c r="K166" s="292">
        <f t="shared" si="77"/>
        <v>322.27416666666664</v>
      </c>
      <c r="L166" s="292">
        <f t="shared" si="77"/>
        <v>322.27416666666664</v>
      </c>
      <c r="M166" s="292">
        <f t="shared" si="77"/>
        <v>322.27416666666664</v>
      </c>
      <c r="N166" s="292">
        <f t="shared" si="77"/>
        <v>322.27416666666664</v>
      </c>
      <c r="O166" s="292">
        <f t="shared" si="77"/>
        <v>322.27416666666664</v>
      </c>
      <c r="P166" s="292">
        <f t="shared" si="77"/>
        <v>322.27416666666664</v>
      </c>
      <c r="Q166" s="293"/>
      <c r="R166" s="225">
        <f t="shared" si="50"/>
        <v>0</v>
      </c>
      <c r="S166">
        <f t="shared" si="51"/>
        <v>12</v>
      </c>
    </row>
    <row r="167" spans="2:21">
      <c r="B167" s="272" t="s">
        <v>79</v>
      </c>
      <c r="C167" s="274">
        <f>VLOOKUP(B167,'Budget Detail'!$A$16:$F$254,3,FALSE)</f>
        <v>0</v>
      </c>
      <c r="D167" s="269"/>
      <c r="E167" s="292">
        <f t="shared" si="77"/>
        <v>0</v>
      </c>
      <c r="F167" s="292">
        <f t="shared" si="77"/>
        <v>0</v>
      </c>
      <c r="G167" s="292">
        <f t="shared" si="77"/>
        <v>0</v>
      </c>
      <c r="H167" s="292">
        <f t="shared" si="77"/>
        <v>0</v>
      </c>
      <c r="I167" s="292">
        <f t="shared" si="77"/>
        <v>0</v>
      </c>
      <c r="J167" s="292">
        <f t="shared" si="77"/>
        <v>0</v>
      </c>
      <c r="K167" s="292">
        <f t="shared" si="77"/>
        <v>0</v>
      </c>
      <c r="L167" s="292">
        <f t="shared" si="77"/>
        <v>0</v>
      </c>
      <c r="M167" s="292">
        <f t="shared" si="77"/>
        <v>0</v>
      </c>
      <c r="N167" s="292">
        <f t="shared" si="77"/>
        <v>0</v>
      </c>
      <c r="O167" s="292">
        <f t="shared" si="77"/>
        <v>0</v>
      </c>
      <c r="P167" s="292">
        <f t="shared" si="77"/>
        <v>0</v>
      </c>
      <c r="Q167" s="293"/>
      <c r="R167" s="225">
        <f t="shared" si="50"/>
        <v>0</v>
      </c>
      <c r="S167">
        <f t="shared" si="51"/>
        <v>12</v>
      </c>
    </row>
    <row r="168" spans="2:21">
      <c r="B168" s="272" t="s">
        <v>80</v>
      </c>
      <c r="C168" s="274">
        <f>VLOOKUP(B168,'Budget Detail'!$A$16:$F$254,3,FALSE)</f>
        <v>8708.26</v>
      </c>
      <c r="D168" s="269"/>
      <c r="E168" s="292">
        <f t="shared" si="77"/>
        <v>725.68833333333339</v>
      </c>
      <c r="F168" s="292">
        <f t="shared" si="77"/>
        <v>725.68833333333339</v>
      </c>
      <c r="G168" s="292">
        <f t="shared" si="77"/>
        <v>725.68833333333339</v>
      </c>
      <c r="H168" s="292">
        <f t="shared" si="77"/>
        <v>725.68833333333339</v>
      </c>
      <c r="I168" s="292">
        <f t="shared" si="77"/>
        <v>725.68833333333339</v>
      </c>
      <c r="J168" s="292">
        <f t="shared" si="77"/>
        <v>725.68833333333339</v>
      </c>
      <c r="K168" s="292">
        <f t="shared" si="77"/>
        <v>725.68833333333339</v>
      </c>
      <c r="L168" s="292">
        <f t="shared" si="77"/>
        <v>725.68833333333339</v>
      </c>
      <c r="M168" s="292">
        <f t="shared" si="77"/>
        <v>725.68833333333339</v>
      </c>
      <c r="N168" s="292">
        <f t="shared" si="77"/>
        <v>725.68833333333339</v>
      </c>
      <c r="O168" s="292">
        <f t="shared" si="77"/>
        <v>725.68833333333339</v>
      </c>
      <c r="P168" s="292">
        <f t="shared" si="77"/>
        <v>725.68833333333339</v>
      </c>
      <c r="Q168" s="293"/>
      <c r="R168" s="225">
        <f t="shared" si="50"/>
        <v>0</v>
      </c>
      <c r="S168">
        <f t="shared" si="51"/>
        <v>12</v>
      </c>
    </row>
    <row r="169" spans="2:21">
      <c r="B169" s="276" t="s">
        <v>82</v>
      </c>
      <c r="C169" s="277">
        <f>(((((C163)+(C164))+(C165))+(C166))+(C167))+(C168)</f>
        <v>16352.55</v>
      </c>
      <c r="D169" s="270"/>
      <c r="E169" s="294">
        <f t="shared" ref="E169:Q169" si="78">(((((E163)+(E164))+(E165))+(E166))+(E167))+(E168)</f>
        <v>1362.7125000000001</v>
      </c>
      <c r="F169" s="294">
        <f t="shared" si="78"/>
        <v>1362.7125000000001</v>
      </c>
      <c r="G169" s="294">
        <f t="shared" si="78"/>
        <v>1362.7125000000001</v>
      </c>
      <c r="H169" s="294">
        <f t="shared" si="78"/>
        <v>1362.7125000000001</v>
      </c>
      <c r="I169" s="294">
        <f t="shared" si="78"/>
        <v>1362.7125000000001</v>
      </c>
      <c r="J169" s="294">
        <f t="shared" si="78"/>
        <v>1362.7125000000001</v>
      </c>
      <c r="K169" s="294">
        <f t="shared" si="78"/>
        <v>1362.7125000000001</v>
      </c>
      <c r="L169" s="294">
        <f t="shared" si="78"/>
        <v>1362.7125000000001</v>
      </c>
      <c r="M169" s="294">
        <f t="shared" si="78"/>
        <v>1362.7125000000001</v>
      </c>
      <c r="N169" s="294">
        <f t="shared" si="78"/>
        <v>1362.7125000000001</v>
      </c>
      <c r="O169" s="294">
        <f t="shared" si="78"/>
        <v>1362.7125000000001</v>
      </c>
      <c r="P169" s="294">
        <f t="shared" si="78"/>
        <v>1362.7125000000001</v>
      </c>
      <c r="Q169" s="294">
        <f t="shared" si="78"/>
        <v>0</v>
      </c>
      <c r="R169" s="225">
        <f t="shared" si="50"/>
        <v>0</v>
      </c>
      <c r="S169">
        <f t="shared" si="51"/>
        <v>12</v>
      </c>
    </row>
    <row r="170" spans="2:21">
      <c r="B170" s="272" t="s">
        <v>456</v>
      </c>
      <c r="C170" s="274"/>
      <c r="D170" s="269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25">
        <f t="shared" si="50"/>
        <v>0</v>
      </c>
      <c r="S170">
        <f t="shared" si="51"/>
        <v>12</v>
      </c>
    </row>
    <row r="171" spans="2:21">
      <c r="B171" s="272" t="s">
        <v>81</v>
      </c>
      <c r="C171" s="274">
        <f>VLOOKUP(B171,'Budget Detail'!$A$16:$F$254,3,FALSE)</f>
        <v>0</v>
      </c>
      <c r="D171" s="269"/>
      <c r="E171" s="292"/>
      <c r="F171" s="292"/>
      <c r="G171" s="292">
        <f>C171</f>
        <v>0</v>
      </c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25">
        <f t="shared" si="50"/>
        <v>0</v>
      </c>
      <c r="S171">
        <f t="shared" si="51"/>
        <v>12</v>
      </c>
      <c r="U171" t="s">
        <v>543</v>
      </c>
    </row>
    <row r="172" spans="2:21">
      <c r="B172" s="280" t="s">
        <v>378</v>
      </c>
      <c r="C172" s="277">
        <f>(C170)+(C171)</f>
        <v>0</v>
      </c>
      <c r="D172" s="270"/>
      <c r="E172" s="294">
        <f t="shared" ref="E172:Q172" si="79">(E170)+(E171)</f>
        <v>0</v>
      </c>
      <c r="F172" s="294">
        <f t="shared" si="79"/>
        <v>0</v>
      </c>
      <c r="G172" s="294">
        <f t="shared" si="79"/>
        <v>0</v>
      </c>
      <c r="H172" s="294">
        <f t="shared" si="79"/>
        <v>0</v>
      </c>
      <c r="I172" s="294">
        <f t="shared" si="79"/>
        <v>0</v>
      </c>
      <c r="J172" s="294">
        <f t="shared" si="79"/>
        <v>0</v>
      </c>
      <c r="K172" s="294">
        <f t="shared" si="79"/>
        <v>0</v>
      </c>
      <c r="L172" s="294">
        <f t="shared" si="79"/>
        <v>0</v>
      </c>
      <c r="M172" s="294">
        <f t="shared" si="79"/>
        <v>0</v>
      </c>
      <c r="N172" s="294">
        <f t="shared" si="79"/>
        <v>0</v>
      </c>
      <c r="O172" s="294">
        <f t="shared" si="79"/>
        <v>0</v>
      </c>
      <c r="P172" s="294">
        <f t="shared" si="79"/>
        <v>0</v>
      </c>
      <c r="Q172" s="294">
        <f t="shared" si="79"/>
        <v>0</v>
      </c>
      <c r="R172" s="225">
        <f t="shared" si="50"/>
        <v>0</v>
      </c>
      <c r="S172">
        <f t="shared" si="51"/>
        <v>12</v>
      </c>
    </row>
    <row r="173" spans="2:21">
      <c r="B173" s="272" t="s">
        <v>83</v>
      </c>
      <c r="C173" s="274"/>
      <c r="D173" s="269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25">
        <f t="shared" si="50"/>
        <v>0</v>
      </c>
      <c r="S173">
        <f t="shared" si="51"/>
        <v>12</v>
      </c>
    </row>
    <row r="174" spans="2:21">
      <c r="B174" s="272" t="s">
        <v>84</v>
      </c>
      <c r="C174" s="274">
        <f>VLOOKUP(B174,'Budget Detail'!$A$16:$F$254,3,FALSE)</f>
        <v>0</v>
      </c>
      <c r="D174" s="269"/>
      <c r="E174" s="292"/>
      <c r="F174" s="292"/>
      <c r="G174" s="292">
        <f>$C174/$S174</f>
        <v>0</v>
      </c>
      <c r="H174" s="292">
        <f t="shared" ref="H174:P174" si="80">$C174/$S174</f>
        <v>0</v>
      </c>
      <c r="I174" s="292">
        <f t="shared" si="80"/>
        <v>0</v>
      </c>
      <c r="J174" s="292">
        <f t="shared" si="80"/>
        <v>0</v>
      </c>
      <c r="K174" s="292">
        <f t="shared" si="80"/>
        <v>0</v>
      </c>
      <c r="L174" s="292">
        <f t="shared" si="80"/>
        <v>0</v>
      </c>
      <c r="M174" s="292">
        <f t="shared" si="80"/>
        <v>0</v>
      </c>
      <c r="N174" s="292">
        <f t="shared" si="80"/>
        <v>0</v>
      </c>
      <c r="O174" s="292">
        <f t="shared" si="80"/>
        <v>0</v>
      </c>
      <c r="P174" s="292">
        <f t="shared" si="80"/>
        <v>0</v>
      </c>
      <c r="Q174" s="293"/>
      <c r="R174" s="225">
        <f t="shared" si="50"/>
        <v>0</v>
      </c>
      <c r="S174">
        <f t="shared" si="51"/>
        <v>12</v>
      </c>
    </row>
    <row r="175" spans="2:21">
      <c r="B175" s="272" t="s">
        <v>85</v>
      </c>
      <c r="C175" s="274">
        <f>VLOOKUP(B175,'Budget Detail'!$A$16:$F$254,3,FALSE)</f>
        <v>0</v>
      </c>
      <c r="D175" s="269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25">
        <f t="shared" si="50"/>
        <v>0</v>
      </c>
      <c r="S175">
        <f t="shared" si="51"/>
        <v>12</v>
      </c>
    </row>
    <row r="176" spans="2:21">
      <c r="B176" s="276" t="s">
        <v>87</v>
      </c>
      <c r="C176" s="277">
        <f>((C173)+(C174))+(C175)</f>
        <v>0</v>
      </c>
      <c r="D176" s="270"/>
      <c r="E176" s="294">
        <f t="shared" ref="E176:Q176" si="81">((E173)+(E174))+(E175)</f>
        <v>0</v>
      </c>
      <c r="F176" s="294">
        <f t="shared" si="81"/>
        <v>0</v>
      </c>
      <c r="G176" s="294">
        <f t="shared" si="81"/>
        <v>0</v>
      </c>
      <c r="H176" s="294">
        <f t="shared" si="81"/>
        <v>0</v>
      </c>
      <c r="I176" s="294">
        <f t="shared" si="81"/>
        <v>0</v>
      </c>
      <c r="J176" s="294">
        <f t="shared" si="81"/>
        <v>0</v>
      </c>
      <c r="K176" s="294">
        <f t="shared" si="81"/>
        <v>0</v>
      </c>
      <c r="L176" s="294">
        <f t="shared" si="81"/>
        <v>0</v>
      </c>
      <c r="M176" s="294">
        <f t="shared" si="81"/>
        <v>0</v>
      </c>
      <c r="N176" s="294">
        <f t="shared" si="81"/>
        <v>0</v>
      </c>
      <c r="O176" s="294">
        <f t="shared" si="81"/>
        <v>0</v>
      </c>
      <c r="P176" s="294">
        <f t="shared" si="81"/>
        <v>0</v>
      </c>
      <c r="Q176" s="294">
        <f t="shared" si="81"/>
        <v>0</v>
      </c>
      <c r="R176" s="225">
        <f t="shared" si="50"/>
        <v>0</v>
      </c>
      <c r="S176">
        <f t="shared" si="51"/>
        <v>12</v>
      </c>
    </row>
    <row r="177" spans="2:19">
      <c r="B177" s="278" t="s">
        <v>457</v>
      </c>
      <c r="C177" s="274"/>
      <c r="D177" s="269"/>
      <c r="E177" s="293"/>
      <c r="F177" s="293"/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25">
        <f t="shared" si="50"/>
        <v>0</v>
      </c>
      <c r="S177">
        <f t="shared" si="51"/>
        <v>12</v>
      </c>
    </row>
    <row r="178" spans="2:19">
      <c r="B178" s="272" t="s">
        <v>86</v>
      </c>
      <c r="C178" s="274">
        <f>VLOOKUP(B178,'Budget Detail'!$A$16:$F$254,3,FALSE)</f>
        <v>4270.01</v>
      </c>
      <c r="D178" s="269"/>
      <c r="E178" s="293"/>
      <c r="F178" s="293"/>
      <c r="G178" s="292">
        <f t="shared" ref="G178:P179" si="82">$C178/$S178</f>
        <v>427.00100000000003</v>
      </c>
      <c r="H178" s="292">
        <f t="shared" si="82"/>
        <v>427.00100000000003</v>
      </c>
      <c r="I178" s="292">
        <f t="shared" si="82"/>
        <v>427.00100000000003</v>
      </c>
      <c r="J178" s="292">
        <f t="shared" si="82"/>
        <v>427.00100000000003</v>
      </c>
      <c r="K178" s="292">
        <f t="shared" si="82"/>
        <v>427.00100000000003</v>
      </c>
      <c r="L178" s="292">
        <f t="shared" si="82"/>
        <v>427.00100000000003</v>
      </c>
      <c r="M178" s="292">
        <f t="shared" si="82"/>
        <v>427.00100000000003</v>
      </c>
      <c r="N178" s="292">
        <f t="shared" si="82"/>
        <v>427.00100000000003</v>
      </c>
      <c r="O178" s="292">
        <f t="shared" si="82"/>
        <v>427.00100000000003</v>
      </c>
      <c r="P178" s="292">
        <f t="shared" si="82"/>
        <v>427.00100000000003</v>
      </c>
      <c r="Q178" s="293"/>
      <c r="R178" s="225">
        <f t="shared" si="50"/>
        <v>0</v>
      </c>
      <c r="S178">
        <f>$S$2-2</f>
        <v>10</v>
      </c>
    </row>
    <row r="179" spans="2:19">
      <c r="B179" s="275" t="s">
        <v>493</v>
      </c>
      <c r="C179" s="274">
        <f>VLOOKUP(B179,'Budget Detail'!$A$16:$F$254,3,FALSE)</f>
        <v>0</v>
      </c>
      <c r="D179" s="269"/>
      <c r="E179" s="293"/>
      <c r="F179" s="293"/>
      <c r="G179" s="292">
        <f t="shared" si="82"/>
        <v>0</v>
      </c>
      <c r="H179" s="292">
        <f t="shared" si="82"/>
        <v>0</v>
      </c>
      <c r="I179" s="292">
        <f t="shared" si="82"/>
        <v>0</v>
      </c>
      <c r="J179" s="292">
        <f t="shared" si="82"/>
        <v>0</v>
      </c>
      <c r="K179" s="292">
        <f t="shared" si="82"/>
        <v>0</v>
      </c>
      <c r="L179" s="292">
        <f t="shared" si="82"/>
        <v>0</v>
      </c>
      <c r="M179" s="292">
        <f t="shared" si="82"/>
        <v>0</v>
      </c>
      <c r="N179" s="292">
        <f t="shared" si="82"/>
        <v>0</v>
      </c>
      <c r="O179" s="292">
        <f t="shared" si="82"/>
        <v>0</v>
      </c>
      <c r="P179" s="292">
        <f t="shared" si="82"/>
        <v>0</v>
      </c>
      <c r="Q179" s="292"/>
      <c r="R179" s="225">
        <f t="shared" si="50"/>
        <v>0</v>
      </c>
      <c r="S179">
        <f>$S$2-2</f>
        <v>10</v>
      </c>
    </row>
    <row r="180" spans="2:19">
      <c r="B180" s="280" t="s">
        <v>458</v>
      </c>
      <c r="C180" s="277">
        <f>(C177)+(C178)+C179</f>
        <v>4270.01</v>
      </c>
      <c r="D180" s="270"/>
      <c r="E180" s="294">
        <f t="shared" ref="E180:Q180" si="83">(E177)+(E178)+E179</f>
        <v>0</v>
      </c>
      <c r="F180" s="294">
        <f t="shared" si="83"/>
        <v>0</v>
      </c>
      <c r="G180" s="294">
        <f t="shared" si="83"/>
        <v>427.00100000000003</v>
      </c>
      <c r="H180" s="294">
        <f t="shared" si="83"/>
        <v>427.00100000000003</v>
      </c>
      <c r="I180" s="294">
        <f t="shared" si="83"/>
        <v>427.00100000000003</v>
      </c>
      <c r="J180" s="294">
        <f t="shared" si="83"/>
        <v>427.00100000000003</v>
      </c>
      <c r="K180" s="294">
        <f t="shared" si="83"/>
        <v>427.00100000000003</v>
      </c>
      <c r="L180" s="294">
        <f t="shared" si="83"/>
        <v>427.00100000000003</v>
      </c>
      <c r="M180" s="294">
        <f t="shared" si="83"/>
        <v>427.00100000000003</v>
      </c>
      <c r="N180" s="294">
        <f t="shared" si="83"/>
        <v>427.00100000000003</v>
      </c>
      <c r="O180" s="294">
        <f t="shared" si="83"/>
        <v>427.00100000000003</v>
      </c>
      <c r="P180" s="294">
        <f t="shared" si="83"/>
        <v>427.00100000000003</v>
      </c>
      <c r="Q180" s="294">
        <f t="shared" si="83"/>
        <v>0</v>
      </c>
      <c r="R180" s="225">
        <f t="shared" si="50"/>
        <v>0</v>
      </c>
      <c r="S180">
        <f t="shared" si="51"/>
        <v>12</v>
      </c>
    </row>
    <row r="181" spans="2:19">
      <c r="B181" s="272" t="s">
        <v>88</v>
      </c>
      <c r="C181" s="274"/>
      <c r="D181" s="269"/>
      <c r="E181" s="293"/>
      <c r="F181" s="293"/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25">
        <f t="shared" si="50"/>
        <v>0</v>
      </c>
      <c r="S181">
        <f t="shared" si="51"/>
        <v>12</v>
      </c>
    </row>
    <row r="182" spans="2:19">
      <c r="B182" s="272" t="s">
        <v>89</v>
      </c>
      <c r="C182" s="274">
        <f>VLOOKUP(B182,'Budget Detail'!$A$16:$F$254,3,FALSE)</f>
        <v>1408.14</v>
      </c>
      <c r="D182" s="269"/>
      <c r="E182" s="292">
        <f t="shared" ref="E182:P183" si="84">$C182/$S182</f>
        <v>117.34500000000001</v>
      </c>
      <c r="F182" s="292">
        <f t="shared" si="84"/>
        <v>117.34500000000001</v>
      </c>
      <c r="G182" s="292">
        <f t="shared" si="84"/>
        <v>117.34500000000001</v>
      </c>
      <c r="H182" s="292">
        <f t="shared" si="84"/>
        <v>117.34500000000001</v>
      </c>
      <c r="I182" s="292">
        <f t="shared" si="84"/>
        <v>117.34500000000001</v>
      </c>
      <c r="J182" s="292">
        <f t="shared" si="84"/>
        <v>117.34500000000001</v>
      </c>
      <c r="K182" s="292">
        <f t="shared" si="84"/>
        <v>117.34500000000001</v>
      </c>
      <c r="L182" s="292">
        <f t="shared" si="84"/>
        <v>117.34500000000001</v>
      </c>
      <c r="M182" s="292">
        <f t="shared" si="84"/>
        <v>117.34500000000001</v>
      </c>
      <c r="N182" s="292">
        <f t="shared" si="84"/>
        <v>117.34500000000001</v>
      </c>
      <c r="O182" s="292">
        <f t="shared" si="84"/>
        <v>117.34500000000001</v>
      </c>
      <c r="P182" s="292">
        <f t="shared" si="84"/>
        <v>117.34500000000001</v>
      </c>
      <c r="Q182" s="293"/>
      <c r="R182" s="225">
        <f t="shared" si="50"/>
        <v>0</v>
      </c>
      <c r="S182">
        <f t="shared" si="51"/>
        <v>12</v>
      </c>
    </row>
    <row r="183" spans="2:19">
      <c r="B183" s="272" t="s">
        <v>90</v>
      </c>
      <c r="C183" s="274">
        <f>VLOOKUP(B183,'Budget Detail'!$A$16:$F$254,3,FALSE)</f>
        <v>1391.58</v>
      </c>
      <c r="D183" s="269"/>
      <c r="E183" s="292">
        <f t="shared" si="84"/>
        <v>115.96499999999999</v>
      </c>
      <c r="F183" s="292">
        <f t="shared" si="84"/>
        <v>115.96499999999999</v>
      </c>
      <c r="G183" s="292">
        <f t="shared" si="84"/>
        <v>115.96499999999999</v>
      </c>
      <c r="H183" s="292">
        <f t="shared" si="84"/>
        <v>115.96499999999999</v>
      </c>
      <c r="I183" s="292">
        <f t="shared" si="84"/>
        <v>115.96499999999999</v>
      </c>
      <c r="J183" s="292">
        <f t="shared" si="84"/>
        <v>115.96499999999999</v>
      </c>
      <c r="K183" s="292">
        <f t="shared" si="84"/>
        <v>115.96499999999999</v>
      </c>
      <c r="L183" s="292">
        <f t="shared" si="84"/>
        <v>115.96499999999999</v>
      </c>
      <c r="M183" s="292">
        <f t="shared" si="84"/>
        <v>115.96499999999999</v>
      </c>
      <c r="N183" s="292">
        <f t="shared" si="84"/>
        <v>115.96499999999999</v>
      </c>
      <c r="O183" s="292">
        <f t="shared" si="84"/>
        <v>115.96499999999999</v>
      </c>
      <c r="P183" s="292">
        <f t="shared" si="84"/>
        <v>115.96499999999999</v>
      </c>
      <c r="Q183" s="293"/>
      <c r="R183" s="225">
        <f t="shared" si="50"/>
        <v>0</v>
      </c>
      <c r="S183">
        <f t="shared" si="51"/>
        <v>12</v>
      </c>
    </row>
    <row r="184" spans="2:19">
      <c r="B184" s="276" t="s">
        <v>91</v>
      </c>
      <c r="C184" s="277">
        <f>((C181)+(C182))+(C183)</f>
        <v>2799.7200000000003</v>
      </c>
      <c r="D184" s="270"/>
      <c r="E184" s="294">
        <f t="shared" ref="E184:Q184" si="85">((E181)+(E182))+(E183)</f>
        <v>233.31</v>
      </c>
      <c r="F184" s="294">
        <f t="shared" si="85"/>
        <v>233.31</v>
      </c>
      <c r="G184" s="294">
        <f t="shared" si="85"/>
        <v>233.31</v>
      </c>
      <c r="H184" s="294">
        <f t="shared" si="85"/>
        <v>233.31</v>
      </c>
      <c r="I184" s="294">
        <f t="shared" si="85"/>
        <v>233.31</v>
      </c>
      <c r="J184" s="294">
        <f t="shared" si="85"/>
        <v>233.31</v>
      </c>
      <c r="K184" s="294">
        <f t="shared" si="85"/>
        <v>233.31</v>
      </c>
      <c r="L184" s="294">
        <f t="shared" si="85"/>
        <v>233.31</v>
      </c>
      <c r="M184" s="294">
        <f t="shared" si="85"/>
        <v>233.31</v>
      </c>
      <c r="N184" s="294">
        <f t="shared" si="85"/>
        <v>233.31</v>
      </c>
      <c r="O184" s="294">
        <f t="shared" si="85"/>
        <v>233.31</v>
      </c>
      <c r="P184" s="294">
        <f t="shared" si="85"/>
        <v>233.31</v>
      </c>
      <c r="Q184" s="294">
        <f t="shared" si="85"/>
        <v>0</v>
      </c>
      <c r="R184" s="225">
        <f t="shared" si="50"/>
        <v>0</v>
      </c>
      <c r="S184">
        <f t="shared" si="51"/>
        <v>12</v>
      </c>
    </row>
    <row r="185" spans="2:19">
      <c r="B185" s="272" t="s">
        <v>92</v>
      </c>
      <c r="C185" s="274"/>
      <c r="D185" s="269"/>
      <c r="E185" s="293"/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25">
        <f t="shared" si="50"/>
        <v>0</v>
      </c>
      <c r="S185">
        <f t="shared" si="51"/>
        <v>12</v>
      </c>
    </row>
    <row r="186" spans="2:19">
      <c r="B186" s="272" t="s">
        <v>93</v>
      </c>
      <c r="C186" s="274">
        <f>VLOOKUP(B186,'Budget Detail'!$A$16:$F$254,3,FALSE)</f>
        <v>3506.25</v>
      </c>
      <c r="D186" s="269"/>
      <c r="E186" s="292">
        <f t="shared" ref="E186:P188" si="86">$C186/$S186</f>
        <v>292.1875</v>
      </c>
      <c r="F186" s="292">
        <f t="shared" si="86"/>
        <v>292.1875</v>
      </c>
      <c r="G186" s="292">
        <f t="shared" si="86"/>
        <v>292.1875</v>
      </c>
      <c r="H186" s="292">
        <f t="shared" si="86"/>
        <v>292.1875</v>
      </c>
      <c r="I186" s="292">
        <f t="shared" si="86"/>
        <v>292.1875</v>
      </c>
      <c r="J186" s="292">
        <f t="shared" si="86"/>
        <v>292.1875</v>
      </c>
      <c r="K186" s="292">
        <f t="shared" si="86"/>
        <v>292.1875</v>
      </c>
      <c r="L186" s="292">
        <f t="shared" si="86"/>
        <v>292.1875</v>
      </c>
      <c r="M186" s="292">
        <f t="shared" si="86"/>
        <v>292.1875</v>
      </c>
      <c r="N186" s="292">
        <f t="shared" si="86"/>
        <v>292.1875</v>
      </c>
      <c r="O186" s="292">
        <f t="shared" si="86"/>
        <v>292.1875</v>
      </c>
      <c r="P186" s="292">
        <f t="shared" si="86"/>
        <v>292.1875</v>
      </c>
      <c r="Q186" s="293"/>
      <c r="R186" s="225">
        <f t="shared" si="50"/>
        <v>0</v>
      </c>
      <c r="S186">
        <f t="shared" si="51"/>
        <v>12</v>
      </c>
    </row>
    <row r="187" spans="2:19">
      <c r="B187" s="272" t="s">
        <v>94</v>
      </c>
      <c r="C187" s="274">
        <f>VLOOKUP(B187,'Budget Detail'!$A$16:$F$254,3,FALSE)</f>
        <v>7225</v>
      </c>
      <c r="D187" s="269"/>
      <c r="E187" s="292">
        <f t="shared" si="86"/>
        <v>602.08333333333337</v>
      </c>
      <c r="F187" s="292">
        <f t="shared" si="86"/>
        <v>602.08333333333337</v>
      </c>
      <c r="G187" s="292">
        <f t="shared" si="86"/>
        <v>602.08333333333337</v>
      </c>
      <c r="H187" s="292">
        <f t="shared" si="86"/>
        <v>602.08333333333337</v>
      </c>
      <c r="I187" s="292">
        <f t="shared" si="86"/>
        <v>602.08333333333337</v>
      </c>
      <c r="J187" s="292">
        <f t="shared" si="86"/>
        <v>602.08333333333337</v>
      </c>
      <c r="K187" s="292">
        <f t="shared" si="86"/>
        <v>602.08333333333337</v>
      </c>
      <c r="L187" s="292">
        <f t="shared" si="86"/>
        <v>602.08333333333337</v>
      </c>
      <c r="M187" s="292">
        <f t="shared" si="86"/>
        <v>602.08333333333337</v>
      </c>
      <c r="N187" s="292">
        <f t="shared" si="86"/>
        <v>602.08333333333337</v>
      </c>
      <c r="O187" s="292">
        <f t="shared" si="86"/>
        <v>602.08333333333337</v>
      </c>
      <c r="P187" s="292">
        <f t="shared" si="86"/>
        <v>602.08333333333337</v>
      </c>
      <c r="Q187" s="293"/>
      <c r="R187" s="225">
        <f t="shared" si="50"/>
        <v>0</v>
      </c>
      <c r="S187">
        <f t="shared" si="51"/>
        <v>12</v>
      </c>
    </row>
    <row r="188" spans="2:19">
      <c r="B188" s="272" t="s">
        <v>95</v>
      </c>
      <c r="C188" s="274">
        <f>VLOOKUP(B188,'Budget Detail'!$A$16:$F$254,3,FALSE)</f>
        <v>877</v>
      </c>
      <c r="D188" s="269"/>
      <c r="E188" s="292">
        <f t="shared" si="86"/>
        <v>73.083333333333329</v>
      </c>
      <c r="F188" s="292">
        <f t="shared" si="86"/>
        <v>73.083333333333329</v>
      </c>
      <c r="G188" s="292">
        <f t="shared" si="86"/>
        <v>73.083333333333329</v>
      </c>
      <c r="H188" s="292">
        <f t="shared" si="86"/>
        <v>73.083333333333329</v>
      </c>
      <c r="I188" s="292">
        <f t="shared" si="86"/>
        <v>73.083333333333329</v>
      </c>
      <c r="J188" s="292">
        <f t="shared" si="86"/>
        <v>73.083333333333329</v>
      </c>
      <c r="K188" s="292">
        <f t="shared" si="86"/>
        <v>73.083333333333329</v>
      </c>
      <c r="L188" s="292">
        <f t="shared" si="86"/>
        <v>73.083333333333329</v>
      </c>
      <c r="M188" s="292">
        <f t="shared" si="86"/>
        <v>73.083333333333329</v>
      </c>
      <c r="N188" s="292">
        <f t="shared" si="86"/>
        <v>73.083333333333329</v>
      </c>
      <c r="O188" s="292">
        <f t="shared" si="86"/>
        <v>73.083333333333329</v>
      </c>
      <c r="P188" s="292">
        <f t="shared" si="86"/>
        <v>73.083333333333329</v>
      </c>
      <c r="Q188" s="293"/>
      <c r="R188" s="225">
        <f t="shared" ref="R188:R240" si="87">C188-SUM(E188:Q188)</f>
        <v>0</v>
      </c>
      <c r="S188">
        <f t="shared" ref="S188:S240" si="88">$S$2</f>
        <v>12</v>
      </c>
    </row>
    <row r="189" spans="2:19">
      <c r="B189" s="276" t="s">
        <v>96</v>
      </c>
      <c r="C189" s="277">
        <f>(((C185)+(C186))+(C187))+(C188)</f>
        <v>11608.25</v>
      </c>
      <c r="D189" s="270"/>
      <c r="E189" s="294">
        <f t="shared" ref="E189:Q189" si="89">(((E185)+(E186))+(E187))+(E188)</f>
        <v>967.35416666666674</v>
      </c>
      <c r="F189" s="294">
        <f t="shared" si="89"/>
        <v>967.35416666666674</v>
      </c>
      <c r="G189" s="294">
        <f t="shared" si="89"/>
        <v>967.35416666666674</v>
      </c>
      <c r="H189" s="294">
        <f t="shared" si="89"/>
        <v>967.35416666666674</v>
      </c>
      <c r="I189" s="294">
        <f t="shared" si="89"/>
        <v>967.35416666666674</v>
      </c>
      <c r="J189" s="294">
        <f t="shared" si="89"/>
        <v>967.35416666666674</v>
      </c>
      <c r="K189" s="294">
        <f t="shared" si="89"/>
        <v>967.35416666666674</v>
      </c>
      <c r="L189" s="294">
        <f t="shared" si="89"/>
        <v>967.35416666666674</v>
      </c>
      <c r="M189" s="294">
        <f t="shared" si="89"/>
        <v>967.35416666666674</v>
      </c>
      <c r="N189" s="294">
        <f t="shared" si="89"/>
        <v>967.35416666666674</v>
      </c>
      <c r="O189" s="294">
        <f t="shared" si="89"/>
        <v>967.35416666666674</v>
      </c>
      <c r="P189" s="294">
        <f t="shared" si="89"/>
        <v>967.35416666666674</v>
      </c>
      <c r="Q189" s="294">
        <f t="shared" si="89"/>
        <v>0</v>
      </c>
      <c r="R189" s="225">
        <f t="shared" si="87"/>
        <v>0</v>
      </c>
      <c r="S189">
        <f t="shared" si="88"/>
        <v>12</v>
      </c>
    </row>
    <row r="190" spans="2:19">
      <c r="B190" s="272" t="s">
        <v>97</v>
      </c>
      <c r="C190" s="274"/>
      <c r="D190" s="269"/>
      <c r="E190" s="293"/>
      <c r="F190" s="293"/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25">
        <f t="shared" si="87"/>
        <v>0</v>
      </c>
      <c r="S190">
        <f t="shared" si="88"/>
        <v>12</v>
      </c>
    </row>
    <row r="191" spans="2:19">
      <c r="B191" s="272" t="s">
        <v>98</v>
      </c>
      <c r="C191" s="274">
        <f>VLOOKUP(B191,'Budget Detail'!$A$16:$F$254,3,FALSE)</f>
        <v>2946.58</v>
      </c>
      <c r="D191" s="269"/>
      <c r="E191" s="292">
        <f t="shared" ref="E191:P191" si="90">$C191/$S191</f>
        <v>245.54833333333332</v>
      </c>
      <c r="F191" s="292">
        <f t="shared" si="90"/>
        <v>245.54833333333332</v>
      </c>
      <c r="G191" s="292">
        <f t="shared" si="90"/>
        <v>245.54833333333332</v>
      </c>
      <c r="H191" s="292">
        <f t="shared" si="90"/>
        <v>245.54833333333332</v>
      </c>
      <c r="I191" s="292">
        <f t="shared" si="90"/>
        <v>245.54833333333332</v>
      </c>
      <c r="J191" s="292">
        <f t="shared" si="90"/>
        <v>245.54833333333332</v>
      </c>
      <c r="K191" s="292">
        <f t="shared" si="90"/>
        <v>245.54833333333332</v>
      </c>
      <c r="L191" s="292">
        <f t="shared" si="90"/>
        <v>245.54833333333332</v>
      </c>
      <c r="M191" s="292">
        <f t="shared" si="90"/>
        <v>245.54833333333332</v>
      </c>
      <c r="N191" s="292">
        <f t="shared" si="90"/>
        <v>245.54833333333332</v>
      </c>
      <c r="O191" s="292">
        <f t="shared" si="90"/>
        <v>245.54833333333332</v>
      </c>
      <c r="P191" s="292">
        <f t="shared" si="90"/>
        <v>245.54833333333332</v>
      </c>
      <c r="Q191" s="293"/>
      <c r="R191" s="225">
        <f t="shared" si="87"/>
        <v>0</v>
      </c>
      <c r="S191">
        <f t="shared" si="88"/>
        <v>12</v>
      </c>
    </row>
    <row r="192" spans="2:19">
      <c r="B192" s="276" t="s">
        <v>99</v>
      </c>
      <c r="C192" s="277">
        <f>(C190)+(C191)</f>
        <v>2946.58</v>
      </c>
      <c r="D192" s="270"/>
      <c r="E192" s="294">
        <f t="shared" ref="E192:Q192" si="91">(E190)+(E191)</f>
        <v>245.54833333333332</v>
      </c>
      <c r="F192" s="294">
        <f t="shared" si="91"/>
        <v>245.54833333333332</v>
      </c>
      <c r="G192" s="294">
        <f t="shared" si="91"/>
        <v>245.54833333333332</v>
      </c>
      <c r="H192" s="294">
        <f t="shared" si="91"/>
        <v>245.54833333333332</v>
      </c>
      <c r="I192" s="294">
        <f t="shared" si="91"/>
        <v>245.54833333333332</v>
      </c>
      <c r="J192" s="294">
        <f t="shared" si="91"/>
        <v>245.54833333333332</v>
      </c>
      <c r="K192" s="294">
        <f t="shared" si="91"/>
        <v>245.54833333333332</v>
      </c>
      <c r="L192" s="294">
        <f t="shared" si="91"/>
        <v>245.54833333333332</v>
      </c>
      <c r="M192" s="294">
        <f t="shared" si="91"/>
        <v>245.54833333333332</v>
      </c>
      <c r="N192" s="294">
        <f t="shared" si="91"/>
        <v>245.54833333333332</v>
      </c>
      <c r="O192" s="294">
        <f t="shared" si="91"/>
        <v>245.54833333333332</v>
      </c>
      <c r="P192" s="294">
        <f t="shared" si="91"/>
        <v>245.54833333333332</v>
      </c>
      <c r="Q192" s="294">
        <f t="shared" si="91"/>
        <v>0</v>
      </c>
      <c r="R192" s="225">
        <f t="shared" si="87"/>
        <v>0</v>
      </c>
      <c r="S192">
        <f t="shared" si="88"/>
        <v>12</v>
      </c>
    </row>
    <row r="193" spans="2:19">
      <c r="B193" s="272" t="s">
        <v>100</v>
      </c>
      <c r="C193" s="274"/>
      <c r="D193" s="269"/>
      <c r="E193" s="293"/>
      <c r="F193" s="293"/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25">
        <f t="shared" si="87"/>
        <v>0</v>
      </c>
      <c r="S193">
        <f t="shared" si="88"/>
        <v>12</v>
      </c>
    </row>
    <row r="194" spans="2:19">
      <c r="B194" s="272" t="s">
        <v>101</v>
      </c>
      <c r="C194" s="274">
        <f>VLOOKUP(B194,'Budget Detail'!$A$16:$F$254,3,FALSE)</f>
        <v>25863.54</v>
      </c>
      <c r="D194" s="269"/>
      <c r="E194" s="292"/>
      <c r="F194" s="292"/>
      <c r="G194" s="292"/>
      <c r="H194" s="292"/>
      <c r="I194" s="292">
        <f>$C194/4</f>
        <v>6465.8850000000002</v>
      </c>
      <c r="J194" s="292">
        <f>$C194/4</f>
        <v>6465.8850000000002</v>
      </c>
      <c r="K194" s="292">
        <f t="shared" ref="K194:L194" si="92">$C194/4</f>
        <v>6465.8850000000002</v>
      </c>
      <c r="L194" s="292">
        <f t="shared" si="92"/>
        <v>6465.8850000000002</v>
      </c>
      <c r="M194" s="292"/>
      <c r="N194" s="292"/>
      <c r="O194" s="292"/>
      <c r="P194" s="292"/>
      <c r="Q194" s="293"/>
      <c r="R194" s="225">
        <f t="shared" si="87"/>
        <v>0</v>
      </c>
      <c r="S194">
        <f t="shared" si="88"/>
        <v>12</v>
      </c>
    </row>
    <row r="195" spans="2:19">
      <c r="B195" s="276" t="s">
        <v>104</v>
      </c>
      <c r="C195" s="277">
        <f>(C193)+(C194)</f>
        <v>25863.54</v>
      </c>
      <c r="D195" s="270"/>
      <c r="E195" s="294">
        <f t="shared" ref="E195:Q195" si="93">(E193)+(E194)</f>
        <v>0</v>
      </c>
      <c r="F195" s="294">
        <f t="shared" si="93"/>
        <v>0</v>
      </c>
      <c r="G195" s="294">
        <f t="shared" si="93"/>
        <v>0</v>
      </c>
      <c r="H195" s="294">
        <f t="shared" si="93"/>
        <v>0</v>
      </c>
      <c r="I195" s="294">
        <f t="shared" si="93"/>
        <v>6465.8850000000002</v>
      </c>
      <c r="J195" s="294">
        <f t="shared" si="93"/>
        <v>6465.8850000000002</v>
      </c>
      <c r="K195" s="294">
        <f t="shared" si="93"/>
        <v>6465.8850000000002</v>
      </c>
      <c r="L195" s="294">
        <f t="shared" si="93"/>
        <v>6465.8850000000002</v>
      </c>
      <c r="M195" s="294">
        <f t="shared" si="93"/>
        <v>0</v>
      </c>
      <c r="N195" s="294">
        <f t="shared" si="93"/>
        <v>0</v>
      </c>
      <c r="O195" s="294">
        <f t="shared" si="93"/>
        <v>0</v>
      </c>
      <c r="P195" s="294">
        <f t="shared" si="93"/>
        <v>0</v>
      </c>
      <c r="Q195" s="294">
        <f t="shared" si="93"/>
        <v>0</v>
      </c>
      <c r="R195" s="225">
        <f t="shared" si="87"/>
        <v>0</v>
      </c>
      <c r="S195">
        <f t="shared" si="88"/>
        <v>12</v>
      </c>
    </row>
    <row r="196" spans="2:19">
      <c r="B196" s="278" t="s">
        <v>459</v>
      </c>
      <c r="C196" s="274"/>
      <c r="D196" s="269"/>
      <c r="E196" s="293"/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25">
        <f t="shared" si="87"/>
        <v>0</v>
      </c>
      <c r="S196">
        <f t="shared" si="88"/>
        <v>12</v>
      </c>
    </row>
    <row r="197" spans="2:19">
      <c r="B197" s="272" t="s">
        <v>102</v>
      </c>
      <c r="C197" s="274">
        <f>VLOOKUP(B197,'Budget Detail'!$A$16:$F$254,3,FALSE)</f>
        <v>0</v>
      </c>
      <c r="D197" s="269"/>
      <c r="E197" s="292"/>
      <c r="F197" s="292"/>
      <c r="G197" s="292">
        <f t="shared" ref="G197:Q197" si="94">$C197/$S197</f>
        <v>0</v>
      </c>
      <c r="H197" s="292">
        <f t="shared" si="94"/>
        <v>0</v>
      </c>
      <c r="I197" s="292">
        <f t="shared" si="94"/>
        <v>0</v>
      </c>
      <c r="J197" s="292">
        <f t="shared" si="94"/>
        <v>0</v>
      </c>
      <c r="K197" s="292">
        <f t="shared" si="94"/>
        <v>0</v>
      </c>
      <c r="L197" s="292">
        <f t="shared" si="94"/>
        <v>0</v>
      </c>
      <c r="M197" s="292">
        <f t="shared" si="94"/>
        <v>0</v>
      </c>
      <c r="N197" s="292">
        <f t="shared" si="94"/>
        <v>0</v>
      </c>
      <c r="O197" s="292">
        <f t="shared" si="94"/>
        <v>0</v>
      </c>
      <c r="P197" s="292">
        <f t="shared" si="94"/>
        <v>0</v>
      </c>
      <c r="Q197" s="292">
        <f t="shared" si="94"/>
        <v>0</v>
      </c>
      <c r="R197" s="225">
        <f t="shared" si="87"/>
        <v>0</v>
      </c>
      <c r="S197">
        <f>$S$2+1</f>
        <v>13</v>
      </c>
    </row>
    <row r="198" spans="2:19">
      <c r="B198" s="280" t="s">
        <v>379</v>
      </c>
      <c r="C198" s="277">
        <f>(C196)+(C197)</f>
        <v>0</v>
      </c>
      <c r="D198" s="270"/>
      <c r="E198" s="294">
        <f t="shared" ref="E198:Q198" si="95">(E196)+(E197)</f>
        <v>0</v>
      </c>
      <c r="F198" s="294">
        <f t="shared" si="95"/>
        <v>0</v>
      </c>
      <c r="G198" s="294">
        <f t="shared" si="95"/>
        <v>0</v>
      </c>
      <c r="H198" s="294">
        <f t="shared" si="95"/>
        <v>0</v>
      </c>
      <c r="I198" s="294">
        <f t="shared" si="95"/>
        <v>0</v>
      </c>
      <c r="J198" s="294">
        <f t="shared" si="95"/>
        <v>0</v>
      </c>
      <c r="K198" s="294">
        <f t="shared" si="95"/>
        <v>0</v>
      </c>
      <c r="L198" s="294">
        <f t="shared" si="95"/>
        <v>0</v>
      </c>
      <c r="M198" s="294">
        <f t="shared" si="95"/>
        <v>0</v>
      </c>
      <c r="N198" s="294">
        <f t="shared" si="95"/>
        <v>0</v>
      </c>
      <c r="O198" s="294">
        <f t="shared" si="95"/>
        <v>0</v>
      </c>
      <c r="P198" s="294">
        <f t="shared" si="95"/>
        <v>0</v>
      </c>
      <c r="Q198" s="294">
        <f t="shared" si="95"/>
        <v>0</v>
      </c>
      <c r="R198" s="225">
        <f t="shared" si="87"/>
        <v>0</v>
      </c>
      <c r="S198">
        <f t="shared" si="88"/>
        <v>12</v>
      </c>
    </row>
    <row r="199" spans="2:19">
      <c r="B199" s="278" t="s">
        <v>105</v>
      </c>
      <c r="C199" s="274"/>
      <c r="D199" s="269"/>
      <c r="E199" s="293"/>
      <c r="F199" s="293"/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25">
        <f t="shared" si="87"/>
        <v>0</v>
      </c>
      <c r="S199">
        <f t="shared" si="88"/>
        <v>12</v>
      </c>
    </row>
    <row r="200" spans="2:19">
      <c r="B200" s="272" t="s">
        <v>103</v>
      </c>
      <c r="C200" s="274">
        <f>VLOOKUP(B200,'Budget Detail'!$A$16:$F$254,3,FALSE)</f>
        <v>490.82</v>
      </c>
      <c r="D200" s="269"/>
      <c r="E200" s="292">
        <f t="shared" ref="E200:P201" si="96">$C200/$S200</f>
        <v>40.901666666666664</v>
      </c>
      <c r="F200" s="292">
        <f t="shared" si="96"/>
        <v>40.901666666666664</v>
      </c>
      <c r="G200" s="292">
        <f t="shared" si="96"/>
        <v>40.901666666666664</v>
      </c>
      <c r="H200" s="292">
        <f t="shared" si="96"/>
        <v>40.901666666666664</v>
      </c>
      <c r="I200" s="292">
        <f t="shared" si="96"/>
        <v>40.901666666666664</v>
      </c>
      <c r="J200" s="292">
        <f t="shared" si="96"/>
        <v>40.901666666666664</v>
      </c>
      <c r="K200" s="292">
        <f t="shared" si="96"/>
        <v>40.901666666666664</v>
      </c>
      <c r="L200" s="292">
        <f t="shared" si="96"/>
        <v>40.901666666666664</v>
      </c>
      <c r="M200" s="292">
        <f t="shared" si="96"/>
        <v>40.901666666666664</v>
      </c>
      <c r="N200" s="292">
        <f t="shared" si="96"/>
        <v>40.901666666666664</v>
      </c>
      <c r="O200" s="292">
        <f t="shared" si="96"/>
        <v>40.901666666666664</v>
      </c>
      <c r="P200" s="292">
        <f t="shared" si="96"/>
        <v>40.901666666666664</v>
      </c>
      <c r="Q200" s="293"/>
      <c r="R200" s="225">
        <f t="shared" si="87"/>
        <v>0</v>
      </c>
      <c r="S200">
        <f t="shared" si="88"/>
        <v>12</v>
      </c>
    </row>
    <row r="201" spans="2:19">
      <c r="B201" s="272" t="s">
        <v>106</v>
      </c>
      <c r="C201" s="274">
        <f>VLOOKUP(B201,'Budget Detail'!$A$16:$F$254,3,FALSE)</f>
        <v>4823.16</v>
      </c>
      <c r="D201" s="269"/>
      <c r="E201" s="292">
        <f t="shared" si="96"/>
        <v>401.93</v>
      </c>
      <c r="F201" s="292">
        <f t="shared" si="96"/>
        <v>401.93</v>
      </c>
      <c r="G201" s="292">
        <f t="shared" si="96"/>
        <v>401.93</v>
      </c>
      <c r="H201" s="292">
        <f t="shared" si="96"/>
        <v>401.93</v>
      </c>
      <c r="I201" s="292">
        <f t="shared" si="96"/>
        <v>401.93</v>
      </c>
      <c r="J201" s="292">
        <f t="shared" si="96"/>
        <v>401.93</v>
      </c>
      <c r="K201" s="292">
        <f t="shared" si="96"/>
        <v>401.93</v>
      </c>
      <c r="L201" s="292">
        <f t="shared" si="96"/>
        <v>401.93</v>
      </c>
      <c r="M201" s="292">
        <f t="shared" si="96"/>
        <v>401.93</v>
      </c>
      <c r="N201" s="292">
        <f t="shared" si="96"/>
        <v>401.93</v>
      </c>
      <c r="O201" s="292">
        <f t="shared" si="96"/>
        <v>401.93</v>
      </c>
      <c r="P201" s="292">
        <f t="shared" si="96"/>
        <v>401.93</v>
      </c>
      <c r="Q201" s="293"/>
      <c r="R201" s="225">
        <f t="shared" si="87"/>
        <v>0</v>
      </c>
      <c r="S201">
        <f t="shared" si="88"/>
        <v>12</v>
      </c>
    </row>
    <row r="202" spans="2:19">
      <c r="B202" s="280" t="s">
        <v>107</v>
      </c>
      <c r="C202" s="277">
        <f>((C199)+(C200))+(C201)</f>
        <v>5313.98</v>
      </c>
      <c r="D202" s="270"/>
      <c r="E202" s="294">
        <f t="shared" ref="E202:Q202" si="97">((E199)+(E200))+(E201)</f>
        <v>442.83166666666665</v>
      </c>
      <c r="F202" s="294">
        <f t="shared" si="97"/>
        <v>442.83166666666665</v>
      </c>
      <c r="G202" s="294">
        <f t="shared" si="97"/>
        <v>442.83166666666665</v>
      </c>
      <c r="H202" s="294">
        <f t="shared" si="97"/>
        <v>442.83166666666665</v>
      </c>
      <c r="I202" s="294">
        <f t="shared" si="97"/>
        <v>442.83166666666665</v>
      </c>
      <c r="J202" s="294">
        <f t="shared" si="97"/>
        <v>442.83166666666665</v>
      </c>
      <c r="K202" s="294">
        <f t="shared" si="97"/>
        <v>442.83166666666665</v>
      </c>
      <c r="L202" s="294">
        <f t="shared" si="97"/>
        <v>442.83166666666665</v>
      </c>
      <c r="M202" s="294">
        <f t="shared" si="97"/>
        <v>442.83166666666665</v>
      </c>
      <c r="N202" s="294">
        <f t="shared" si="97"/>
        <v>442.83166666666665</v>
      </c>
      <c r="O202" s="294">
        <f t="shared" si="97"/>
        <v>442.83166666666665</v>
      </c>
      <c r="P202" s="294">
        <f t="shared" si="97"/>
        <v>442.83166666666665</v>
      </c>
      <c r="Q202" s="294">
        <f t="shared" si="97"/>
        <v>0</v>
      </c>
      <c r="R202" s="225">
        <f t="shared" si="87"/>
        <v>0</v>
      </c>
      <c r="S202">
        <f t="shared" si="88"/>
        <v>12</v>
      </c>
    </row>
    <row r="203" spans="2:19">
      <c r="B203" s="272" t="s">
        <v>108</v>
      </c>
      <c r="C203" s="274"/>
      <c r="D203" s="269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25">
        <f t="shared" si="87"/>
        <v>0</v>
      </c>
      <c r="S203">
        <f t="shared" si="88"/>
        <v>12</v>
      </c>
    </row>
    <row r="204" spans="2:19">
      <c r="B204" s="272" t="s">
        <v>109</v>
      </c>
      <c r="C204" s="274">
        <f>VLOOKUP(B204,'Budget Detail'!$A$16:$F$254,3,FALSE)</f>
        <v>0</v>
      </c>
      <c r="D204" s="269"/>
      <c r="E204" s="293"/>
      <c r="F204" s="293"/>
      <c r="G204" s="293"/>
      <c r="H204" s="293"/>
      <c r="I204" s="293"/>
      <c r="J204" s="293"/>
      <c r="K204" s="293"/>
      <c r="L204" s="293"/>
      <c r="M204" s="293"/>
      <c r="N204" s="293">
        <f>C204</f>
        <v>0</v>
      </c>
      <c r="O204" s="293"/>
      <c r="P204" s="293"/>
      <c r="Q204" s="293"/>
      <c r="R204" s="225">
        <f t="shared" si="87"/>
        <v>0</v>
      </c>
      <c r="S204">
        <f t="shared" si="88"/>
        <v>12</v>
      </c>
    </row>
    <row r="205" spans="2:19">
      <c r="B205" s="280" t="s">
        <v>110</v>
      </c>
      <c r="C205" s="277">
        <f>(C203)+(C204)</f>
        <v>0</v>
      </c>
      <c r="D205" s="270"/>
      <c r="E205" s="294">
        <f t="shared" ref="E205:Q205" si="98">(E203)+(E204)</f>
        <v>0</v>
      </c>
      <c r="F205" s="294">
        <f t="shared" si="98"/>
        <v>0</v>
      </c>
      <c r="G205" s="294">
        <f t="shared" si="98"/>
        <v>0</v>
      </c>
      <c r="H205" s="294">
        <f t="shared" si="98"/>
        <v>0</v>
      </c>
      <c r="I205" s="294">
        <f t="shared" si="98"/>
        <v>0</v>
      </c>
      <c r="J205" s="294">
        <f t="shared" si="98"/>
        <v>0</v>
      </c>
      <c r="K205" s="294">
        <f t="shared" si="98"/>
        <v>0</v>
      </c>
      <c r="L205" s="294">
        <f t="shared" si="98"/>
        <v>0</v>
      </c>
      <c r="M205" s="294">
        <f t="shared" si="98"/>
        <v>0</v>
      </c>
      <c r="N205" s="294">
        <f t="shared" si="98"/>
        <v>0</v>
      </c>
      <c r="O205" s="294">
        <f t="shared" si="98"/>
        <v>0</v>
      </c>
      <c r="P205" s="294">
        <f t="shared" si="98"/>
        <v>0</v>
      </c>
      <c r="Q205" s="294">
        <f t="shared" si="98"/>
        <v>0</v>
      </c>
      <c r="R205" s="225">
        <f t="shared" si="87"/>
        <v>0</v>
      </c>
      <c r="S205">
        <f t="shared" si="88"/>
        <v>12</v>
      </c>
    </row>
    <row r="206" spans="2:19">
      <c r="B206" s="272" t="s">
        <v>111</v>
      </c>
      <c r="C206" s="274"/>
      <c r="D206" s="269"/>
      <c r="E206" s="293"/>
      <c r="F206" s="293"/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25">
        <f t="shared" si="87"/>
        <v>0</v>
      </c>
      <c r="S206">
        <f t="shared" si="88"/>
        <v>12</v>
      </c>
    </row>
    <row r="207" spans="2:19">
      <c r="B207" s="272" t="s">
        <v>112</v>
      </c>
      <c r="C207" s="274">
        <f>VLOOKUP(B207,'Budget Detail'!$A$16:$F$254,3,FALSE)</f>
        <v>0</v>
      </c>
      <c r="D207" s="269"/>
      <c r="E207" s="292">
        <f t="shared" ref="E207:P211" si="99">$C207/$S207</f>
        <v>0</v>
      </c>
      <c r="F207" s="292">
        <f t="shared" si="99"/>
        <v>0</v>
      </c>
      <c r="G207" s="292">
        <f t="shared" si="99"/>
        <v>0</v>
      </c>
      <c r="H207" s="292">
        <f t="shared" si="99"/>
        <v>0</v>
      </c>
      <c r="I207" s="292">
        <f t="shared" si="99"/>
        <v>0</v>
      </c>
      <c r="J207" s="292">
        <f t="shared" si="99"/>
        <v>0</v>
      </c>
      <c r="K207" s="292">
        <f t="shared" si="99"/>
        <v>0</v>
      </c>
      <c r="L207" s="292">
        <f t="shared" si="99"/>
        <v>0</v>
      </c>
      <c r="M207" s="292">
        <f t="shared" si="99"/>
        <v>0</v>
      </c>
      <c r="N207" s="292">
        <f t="shared" si="99"/>
        <v>0</v>
      </c>
      <c r="O207" s="292">
        <f t="shared" si="99"/>
        <v>0</v>
      </c>
      <c r="P207" s="292">
        <f t="shared" si="99"/>
        <v>0</v>
      </c>
      <c r="Q207" s="293"/>
      <c r="R207" s="225">
        <f t="shared" si="87"/>
        <v>0</v>
      </c>
      <c r="S207">
        <f t="shared" si="88"/>
        <v>12</v>
      </c>
    </row>
    <row r="208" spans="2:19">
      <c r="B208" s="272" t="s">
        <v>113</v>
      </c>
      <c r="C208" s="274">
        <f>VLOOKUP(B208,'Budget Detail'!$A$16:$F$254,3,FALSE)</f>
        <v>0</v>
      </c>
      <c r="D208" s="269"/>
      <c r="E208" s="292">
        <f t="shared" si="99"/>
        <v>0</v>
      </c>
      <c r="F208" s="292">
        <f t="shared" si="99"/>
        <v>0</v>
      </c>
      <c r="G208" s="292">
        <f t="shared" si="99"/>
        <v>0</v>
      </c>
      <c r="H208" s="292">
        <f t="shared" si="99"/>
        <v>0</v>
      </c>
      <c r="I208" s="292">
        <f t="shared" si="99"/>
        <v>0</v>
      </c>
      <c r="J208" s="292">
        <f t="shared" si="99"/>
        <v>0</v>
      </c>
      <c r="K208" s="292">
        <f t="shared" si="99"/>
        <v>0</v>
      </c>
      <c r="L208" s="292">
        <f t="shared" si="99"/>
        <v>0</v>
      </c>
      <c r="M208" s="292">
        <f t="shared" si="99"/>
        <v>0</v>
      </c>
      <c r="N208" s="292">
        <f t="shared" si="99"/>
        <v>0</v>
      </c>
      <c r="O208" s="292">
        <f t="shared" si="99"/>
        <v>0</v>
      </c>
      <c r="P208" s="292">
        <f t="shared" si="99"/>
        <v>0</v>
      </c>
      <c r="Q208" s="293"/>
      <c r="R208" s="225">
        <f t="shared" si="87"/>
        <v>0</v>
      </c>
      <c r="S208">
        <f t="shared" si="88"/>
        <v>12</v>
      </c>
    </row>
    <row r="209" spans="2:19">
      <c r="B209" s="272" t="s">
        <v>114</v>
      </c>
      <c r="C209" s="274">
        <f>VLOOKUP(B209,'Budget Detail'!$A$16:$F$254,3,FALSE)</f>
        <v>57.01</v>
      </c>
      <c r="D209" s="269"/>
      <c r="E209" s="292">
        <f t="shared" si="99"/>
        <v>4.7508333333333335</v>
      </c>
      <c r="F209" s="292">
        <f t="shared" si="99"/>
        <v>4.7508333333333335</v>
      </c>
      <c r="G209" s="292">
        <f t="shared" si="99"/>
        <v>4.7508333333333335</v>
      </c>
      <c r="H209" s="292">
        <f t="shared" si="99"/>
        <v>4.7508333333333335</v>
      </c>
      <c r="I209" s="292">
        <f t="shared" si="99"/>
        <v>4.7508333333333335</v>
      </c>
      <c r="J209" s="292">
        <f t="shared" si="99"/>
        <v>4.7508333333333335</v>
      </c>
      <c r="K209" s="292">
        <f t="shared" si="99"/>
        <v>4.7508333333333335</v>
      </c>
      <c r="L209" s="292">
        <f t="shared" si="99"/>
        <v>4.7508333333333335</v>
      </c>
      <c r="M209" s="292">
        <f t="shared" si="99"/>
        <v>4.7508333333333335</v>
      </c>
      <c r="N209" s="292">
        <f t="shared" si="99"/>
        <v>4.7508333333333335</v>
      </c>
      <c r="O209" s="292">
        <f t="shared" si="99"/>
        <v>4.7508333333333335</v>
      </c>
      <c r="P209" s="292">
        <f t="shared" si="99"/>
        <v>4.7508333333333335</v>
      </c>
      <c r="Q209" s="293"/>
      <c r="R209" s="225">
        <f t="shared" si="87"/>
        <v>0</v>
      </c>
      <c r="S209">
        <f t="shared" si="88"/>
        <v>12</v>
      </c>
    </row>
    <row r="210" spans="2:19">
      <c r="B210" s="272" t="s">
        <v>115</v>
      </c>
      <c r="C210" s="274">
        <f>VLOOKUP(B210,'Budget Detail'!$A$16:$F$254,3,FALSE)</f>
        <v>705.09</v>
      </c>
      <c r="D210" s="269"/>
      <c r="E210" s="292">
        <f t="shared" si="99"/>
        <v>58.7575</v>
      </c>
      <c r="F210" s="292">
        <f t="shared" si="99"/>
        <v>58.7575</v>
      </c>
      <c r="G210" s="292">
        <f t="shared" si="99"/>
        <v>58.7575</v>
      </c>
      <c r="H210" s="292">
        <f t="shared" si="99"/>
        <v>58.7575</v>
      </c>
      <c r="I210" s="292">
        <f t="shared" si="99"/>
        <v>58.7575</v>
      </c>
      <c r="J210" s="292">
        <f t="shared" si="99"/>
        <v>58.7575</v>
      </c>
      <c r="K210" s="292">
        <f t="shared" si="99"/>
        <v>58.7575</v>
      </c>
      <c r="L210" s="292">
        <f t="shared" si="99"/>
        <v>58.7575</v>
      </c>
      <c r="M210" s="292">
        <f t="shared" si="99"/>
        <v>58.7575</v>
      </c>
      <c r="N210" s="292">
        <f t="shared" si="99"/>
        <v>58.7575</v>
      </c>
      <c r="O210" s="292">
        <f t="shared" si="99"/>
        <v>58.7575</v>
      </c>
      <c r="P210" s="292">
        <f t="shared" si="99"/>
        <v>58.7575</v>
      </c>
      <c r="Q210" s="293"/>
      <c r="R210" s="225">
        <f t="shared" si="87"/>
        <v>0</v>
      </c>
      <c r="S210">
        <f t="shared" si="88"/>
        <v>12</v>
      </c>
    </row>
    <row r="211" spans="2:19">
      <c r="B211" s="272" t="s">
        <v>116</v>
      </c>
      <c r="C211" s="274">
        <f>VLOOKUP(B211,'Budget Detail'!$A$16:$F$254,3,FALSE)</f>
        <v>2.16</v>
      </c>
      <c r="D211" s="269"/>
      <c r="E211" s="292">
        <f t="shared" si="99"/>
        <v>0.18000000000000002</v>
      </c>
      <c r="F211" s="292">
        <f t="shared" si="99"/>
        <v>0.18000000000000002</v>
      </c>
      <c r="G211" s="292">
        <f t="shared" si="99"/>
        <v>0.18000000000000002</v>
      </c>
      <c r="H211" s="292">
        <f t="shared" si="99"/>
        <v>0.18000000000000002</v>
      </c>
      <c r="I211" s="292">
        <f t="shared" si="99"/>
        <v>0.18000000000000002</v>
      </c>
      <c r="J211" s="292">
        <f t="shared" si="99"/>
        <v>0.18000000000000002</v>
      </c>
      <c r="K211" s="292">
        <f t="shared" si="99"/>
        <v>0.18000000000000002</v>
      </c>
      <c r="L211" s="292">
        <f t="shared" si="99"/>
        <v>0.18000000000000002</v>
      </c>
      <c r="M211" s="292">
        <f t="shared" si="99"/>
        <v>0.18000000000000002</v>
      </c>
      <c r="N211" s="292">
        <f t="shared" si="99"/>
        <v>0.18000000000000002</v>
      </c>
      <c r="O211" s="292">
        <f t="shared" si="99"/>
        <v>0.18000000000000002</v>
      </c>
      <c r="P211" s="292">
        <f t="shared" si="99"/>
        <v>0.18000000000000002</v>
      </c>
      <c r="Q211" s="293"/>
      <c r="R211" s="225">
        <f t="shared" si="87"/>
        <v>0</v>
      </c>
      <c r="S211">
        <f t="shared" si="88"/>
        <v>12</v>
      </c>
    </row>
    <row r="212" spans="2:19">
      <c r="B212" s="276" t="s">
        <v>117</v>
      </c>
      <c r="C212" s="277">
        <f>(((((C206)+(C207))+(C208))+(C209))+(C210))+(C211)</f>
        <v>764.26</v>
      </c>
      <c r="D212" s="270"/>
      <c r="E212" s="294">
        <f t="shared" ref="E212:Q212" si="100">(((((E206)+(E207))+(E208))+(E209))+(E210))+(E211)</f>
        <v>63.688333333333333</v>
      </c>
      <c r="F212" s="294">
        <f t="shared" si="100"/>
        <v>63.688333333333333</v>
      </c>
      <c r="G212" s="294">
        <f t="shared" si="100"/>
        <v>63.688333333333333</v>
      </c>
      <c r="H212" s="294">
        <f t="shared" si="100"/>
        <v>63.688333333333333</v>
      </c>
      <c r="I212" s="294">
        <f t="shared" si="100"/>
        <v>63.688333333333333</v>
      </c>
      <c r="J212" s="294">
        <f t="shared" si="100"/>
        <v>63.688333333333333</v>
      </c>
      <c r="K212" s="294">
        <f t="shared" si="100"/>
        <v>63.688333333333333</v>
      </c>
      <c r="L212" s="294">
        <f t="shared" si="100"/>
        <v>63.688333333333333</v>
      </c>
      <c r="M212" s="294">
        <f t="shared" si="100"/>
        <v>63.688333333333333</v>
      </c>
      <c r="N212" s="294">
        <f t="shared" si="100"/>
        <v>63.688333333333333</v>
      </c>
      <c r="O212" s="294">
        <f t="shared" si="100"/>
        <v>63.688333333333333</v>
      </c>
      <c r="P212" s="294">
        <f t="shared" si="100"/>
        <v>63.688333333333333</v>
      </c>
      <c r="Q212" s="294">
        <f t="shared" si="100"/>
        <v>0</v>
      </c>
      <c r="R212" s="225">
        <f t="shared" si="87"/>
        <v>0</v>
      </c>
      <c r="S212">
        <f t="shared" si="88"/>
        <v>12</v>
      </c>
    </row>
    <row r="213" spans="2:19">
      <c r="B213" s="272" t="s">
        <v>118</v>
      </c>
      <c r="C213" s="274"/>
      <c r="D213" s="269"/>
      <c r="E213" s="293"/>
      <c r="F213" s="293"/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25">
        <f t="shared" si="87"/>
        <v>0</v>
      </c>
      <c r="S213">
        <f t="shared" si="88"/>
        <v>12</v>
      </c>
    </row>
    <row r="214" spans="2:19">
      <c r="B214" s="272" t="s">
        <v>119</v>
      </c>
      <c r="C214" s="274">
        <f>VLOOKUP(B214,'Budget Detail'!$A$16:$F$254,3,FALSE)</f>
        <v>2284.64</v>
      </c>
      <c r="D214" s="269"/>
      <c r="E214" s="293">
        <f>C214</f>
        <v>2284.64</v>
      </c>
      <c r="F214" s="293"/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25">
        <f t="shared" si="87"/>
        <v>0</v>
      </c>
      <c r="S214">
        <f t="shared" si="88"/>
        <v>12</v>
      </c>
    </row>
    <row r="215" spans="2:19">
      <c r="B215" s="272" t="s">
        <v>120</v>
      </c>
      <c r="C215" s="274">
        <f>VLOOKUP(B215,'Budget Detail'!$A$16:$F$254,3,FALSE)</f>
        <v>0</v>
      </c>
      <c r="D215" s="269"/>
      <c r="E215" s="293"/>
      <c r="F215" s="293"/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25">
        <f t="shared" si="87"/>
        <v>0</v>
      </c>
      <c r="S215">
        <f t="shared" si="88"/>
        <v>12</v>
      </c>
    </row>
    <row r="216" spans="2:19">
      <c r="B216" s="276" t="s">
        <v>121</v>
      </c>
      <c r="C216" s="277">
        <f>((C213)+(C214))+(C215)</f>
        <v>2284.64</v>
      </c>
      <c r="D216" s="270"/>
      <c r="E216" s="294">
        <f t="shared" ref="E216:Q216" si="101">((E213)+(E214))+(E215)</f>
        <v>2284.64</v>
      </c>
      <c r="F216" s="294">
        <f t="shared" si="101"/>
        <v>0</v>
      </c>
      <c r="G216" s="294">
        <f t="shared" si="101"/>
        <v>0</v>
      </c>
      <c r="H216" s="294">
        <f t="shared" si="101"/>
        <v>0</v>
      </c>
      <c r="I216" s="294">
        <f t="shared" si="101"/>
        <v>0</v>
      </c>
      <c r="J216" s="294">
        <f t="shared" si="101"/>
        <v>0</v>
      </c>
      <c r="K216" s="294">
        <f t="shared" si="101"/>
        <v>0</v>
      </c>
      <c r="L216" s="294">
        <f t="shared" si="101"/>
        <v>0</v>
      </c>
      <c r="M216" s="294">
        <f t="shared" si="101"/>
        <v>0</v>
      </c>
      <c r="N216" s="294">
        <f t="shared" si="101"/>
        <v>0</v>
      </c>
      <c r="O216" s="294">
        <f t="shared" si="101"/>
        <v>0</v>
      </c>
      <c r="P216" s="294">
        <f t="shared" si="101"/>
        <v>0</v>
      </c>
      <c r="Q216" s="294">
        <f t="shared" si="101"/>
        <v>0</v>
      </c>
      <c r="R216" s="225">
        <f t="shared" si="87"/>
        <v>0</v>
      </c>
      <c r="S216">
        <f t="shared" si="88"/>
        <v>12</v>
      </c>
    </row>
    <row r="217" spans="2:19">
      <c r="B217" s="272" t="s">
        <v>122</v>
      </c>
      <c r="C217" s="274"/>
      <c r="D217" s="269"/>
      <c r="E217" s="293"/>
      <c r="F217" s="293"/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25">
        <f t="shared" si="87"/>
        <v>0</v>
      </c>
      <c r="S217">
        <f t="shared" si="88"/>
        <v>12</v>
      </c>
    </row>
    <row r="218" spans="2:19">
      <c r="B218" s="272" t="s">
        <v>460</v>
      </c>
      <c r="C218" s="274">
        <f>VLOOKUP(B218,'Budget Detail'!$A$16:$F$254,3,FALSE)</f>
        <v>0</v>
      </c>
      <c r="D218" s="269"/>
      <c r="E218" s="292">
        <f t="shared" ref="E218:P218" si="102">$C218/$S218</f>
        <v>0</v>
      </c>
      <c r="F218" s="292">
        <f t="shared" si="102"/>
        <v>0</v>
      </c>
      <c r="G218" s="292">
        <f t="shared" si="102"/>
        <v>0</v>
      </c>
      <c r="H218" s="292">
        <f t="shared" si="102"/>
        <v>0</v>
      </c>
      <c r="I218" s="292">
        <f t="shared" si="102"/>
        <v>0</v>
      </c>
      <c r="J218" s="292">
        <f t="shared" si="102"/>
        <v>0</v>
      </c>
      <c r="K218" s="292">
        <f t="shared" si="102"/>
        <v>0</v>
      </c>
      <c r="L218" s="292">
        <f t="shared" si="102"/>
        <v>0</v>
      </c>
      <c r="M218" s="292">
        <f t="shared" si="102"/>
        <v>0</v>
      </c>
      <c r="N218" s="292">
        <f t="shared" si="102"/>
        <v>0</v>
      </c>
      <c r="O218" s="292">
        <f t="shared" si="102"/>
        <v>0</v>
      </c>
      <c r="P218" s="292">
        <f t="shared" si="102"/>
        <v>0</v>
      </c>
      <c r="Q218" s="293"/>
      <c r="R218" s="225">
        <f t="shared" si="87"/>
        <v>0</v>
      </c>
      <c r="S218">
        <f t="shared" si="88"/>
        <v>12</v>
      </c>
    </row>
    <row r="219" spans="2:19">
      <c r="B219" s="272" t="s">
        <v>123</v>
      </c>
      <c r="C219" s="274">
        <f>VLOOKUP(B219,'Budget Detail'!$A$16:$F$254,3,FALSE)</f>
        <v>33174.03</v>
      </c>
      <c r="D219" s="269"/>
      <c r="E219" s="292">
        <f t="shared" ref="E219:P221" si="103">$C219/$S219</f>
        <v>2764.5025000000001</v>
      </c>
      <c r="F219" s="292">
        <f t="shared" si="103"/>
        <v>2764.5025000000001</v>
      </c>
      <c r="G219" s="292">
        <f t="shared" si="103"/>
        <v>2764.5025000000001</v>
      </c>
      <c r="H219" s="292">
        <f t="shared" si="103"/>
        <v>2764.5025000000001</v>
      </c>
      <c r="I219" s="292">
        <f t="shared" si="103"/>
        <v>2764.5025000000001</v>
      </c>
      <c r="J219" s="292">
        <f t="shared" si="103"/>
        <v>2764.5025000000001</v>
      </c>
      <c r="K219" s="292">
        <f t="shared" si="103"/>
        <v>2764.5025000000001</v>
      </c>
      <c r="L219" s="292">
        <f t="shared" si="103"/>
        <v>2764.5025000000001</v>
      </c>
      <c r="M219" s="292">
        <f t="shared" si="103"/>
        <v>2764.5025000000001</v>
      </c>
      <c r="N219" s="292">
        <f t="shared" si="103"/>
        <v>2764.5025000000001</v>
      </c>
      <c r="O219" s="292">
        <f t="shared" si="103"/>
        <v>2764.5025000000001</v>
      </c>
      <c r="P219" s="292">
        <f t="shared" si="103"/>
        <v>2764.5025000000001</v>
      </c>
      <c r="Q219" s="293"/>
      <c r="R219" s="225">
        <f t="shared" si="87"/>
        <v>0</v>
      </c>
      <c r="S219">
        <f t="shared" si="88"/>
        <v>12</v>
      </c>
    </row>
    <row r="220" spans="2:19">
      <c r="B220" s="287" t="s">
        <v>357</v>
      </c>
      <c r="C220" s="274">
        <f>VLOOKUP(B220,'Budget Detail'!$A$16:$F$254,3,FALSE)</f>
        <v>0</v>
      </c>
      <c r="D220" s="269"/>
      <c r="E220" s="292">
        <f t="shared" si="103"/>
        <v>0</v>
      </c>
      <c r="F220" s="292">
        <f t="shared" si="103"/>
        <v>0</v>
      </c>
      <c r="G220" s="292">
        <f t="shared" si="103"/>
        <v>0</v>
      </c>
      <c r="H220" s="292">
        <f t="shared" si="103"/>
        <v>0</v>
      </c>
      <c r="I220" s="292">
        <f t="shared" si="103"/>
        <v>0</v>
      </c>
      <c r="J220" s="292">
        <f t="shared" si="103"/>
        <v>0</v>
      </c>
      <c r="K220" s="292">
        <f t="shared" si="103"/>
        <v>0</v>
      </c>
      <c r="L220" s="292">
        <f t="shared" si="103"/>
        <v>0</v>
      </c>
      <c r="M220" s="292">
        <f t="shared" si="103"/>
        <v>0</v>
      </c>
      <c r="N220" s="292">
        <f t="shared" si="103"/>
        <v>0</v>
      </c>
      <c r="O220" s="292">
        <f t="shared" si="103"/>
        <v>0</v>
      </c>
      <c r="P220" s="292">
        <f t="shared" si="103"/>
        <v>0</v>
      </c>
      <c r="Q220" s="293"/>
      <c r="R220" s="225">
        <f t="shared" si="87"/>
        <v>0</v>
      </c>
      <c r="S220">
        <f t="shared" si="88"/>
        <v>12</v>
      </c>
    </row>
    <row r="221" spans="2:19">
      <c r="B221" s="288" t="s">
        <v>501</v>
      </c>
      <c r="C221" s="274">
        <f>VLOOKUP(B221,'Budget Detail'!$A$16:$F$254,3,FALSE)</f>
        <v>0</v>
      </c>
      <c r="D221" s="269"/>
      <c r="E221" s="292">
        <f t="shared" si="103"/>
        <v>0</v>
      </c>
      <c r="F221" s="292">
        <f t="shared" si="103"/>
        <v>0</v>
      </c>
      <c r="G221" s="292">
        <f t="shared" si="103"/>
        <v>0</v>
      </c>
      <c r="H221" s="292">
        <f t="shared" si="103"/>
        <v>0</v>
      </c>
      <c r="I221" s="292">
        <f t="shared" si="103"/>
        <v>0</v>
      </c>
      <c r="J221" s="292">
        <f t="shared" si="103"/>
        <v>0</v>
      </c>
      <c r="K221" s="292">
        <f t="shared" si="103"/>
        <v>0</v>
      </c>
      <c r="L221" s="292">
        <f t="shared" si="103"/>
        <v>0</v>
      </c>
      <c r="M221" s="292">
        <f t="shared" si="103"/>
        <v>0</v>
      </c>
      <c r="N221" s="292">
        <f t="shared" si="103"/>
        <v>0</v>
      </c>
      <c r="O221" s="292">
        <f t="shared" si="103"/>
        <v>0</v>
      </c>
      <c r="P221" s="292">
        <f t="shared" si="103"/>
        <v>0</v>
      </c>
      <c r="Q221" s="293"/>
      <c r="R221" s="225">
        <f t="shared" si="87"/>
        <v>0</v>
      </c>
      <c r="S221">
        <f t="shared" si="88"/>
        <v>12</v>
      </c>
    </row>
    <row r="222" spans="2:19">
      <c r="B222" s="287" t="s">
        <v>358</v>
      </c>
      <c r="C222" s="274">
        <f>VLOOKUP(B222,'Budget Detail'!$A$16:$F$254,3,FALSE)</f>
        <v>0</v>
      </c>
      <c r="D222" s="269"/>
      <c r="E222" s="293"/>
      <c r="F222" s="293"/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25">
        <f t="shared" si="87"/>
        <v>0</v>
      </c>
      <c r="S222">
        <f t="shared" si="88"/>
        <v>12</v>
      </c>
    </row>
    <row r="223" spans="2:19">
      <c r="B223" s="276" t="s">
        <v>124</v>
      </c>
      <c r="C223" s="277">
        <f>((((C217)+(C218))+(C219))+(C220))+(C222)+C221</f>
        <v>33174.03</v>
      </c>
      <c r="D223" s="270"/>
      <c r="E223" s="294">
        <f>((((E217)+(E218))+(E219))+(E220))+(E222)+E221</f>
        <v>2764.5025000000001</v>
      </c>
      <c r="F223" s="294">
        <f t="shared" ref="F223:P223" si="104">((((F217)+(F218))+(F219))+(F220))+(F222)+F221</f>
        <v>2764.5025000000001</v>
      </c>
      <c r="G223" s="294">
        <f t="shared" si="104"/>
        <v>2764.5025000000001</v>
      </c>
      <c r="H223" s="294">
        <f t="shared" si="104"/>
        <v>2764.5025000000001</v>
      </c>
      <c r="I223" s="294">
        <f t="shared" si="104"/>
        <v>2764.5025000000001</v>
      </c>
      <c r="J223" s="294">
        <f t="shared" si="104"/>
        <v>2764.5025000000001</v>
      </c>
      <c r="K223" s="294">
        <f t="shared" si="104"/>
        <v>2764.5025000000001</v>
      </c>
      <c r="L223" s="294">
        <f t="shared" si="104"/>
        <v>2764.5025000000001</v>
      </c>
      <c r="M223" s="294">
        <f t="shared" si="104"/>
        <v>2764.5025000000001</v>
      </c>
      <c r="N223" s="294">
        <f t="shared" si="104"/>
        <v>2764.5025000000001</v>
      </c>
      <c r="O223" s="294">
        <f t="shared" si="104"/>
        <v>2764.5025000000001</v>
      </c>
      <c r="P223" s="294">
        <f t="shared" si="104"/>
        <v>2764.5025000000001</v>
      </c>
      <c r="Q223" s="294">
        <f t="shared" ref="Q223" si="105">((((Q217)+(Q218))+(Q219))+(Q220))+(Q222)</f>
        <v>0</v>
      </c>
      <c r="R223" s="225">
        <f t="shared" si="87"/>
        <v>0</v>
      </c>
      <c r="S223">
        <f t="shared" si="88"/>
        <v>12</v>
      </c>
    </row>
    <row r="224" spans="2:19">
      <c r="B224" s="272" t="s">
        <v>125</v>
      </c>
      <c r="C224" s="274"/>
      <c r="D224" s="269"/>
      <c r="E224" s="293"/>
      <c r="F224" s="293"/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25">
        <f t="shared" si="87"/>
        <v>0</v>
      </c>
      <c r="S224">
        <f t="shared" si="88"/>
        <v>12</v>
      </c>
    </row>
    <row r="225" spans="2:19">
      <c r="B225" s="272" t="s">
        <v>126</v>
      </c>
      <c r="C225" s="274">
        <f>VLOOKUP(B225,'Budget Detail'!$A$16:$F$254,3,FALSE)</f>
        <v>0</v>
      </c>
      <c r="D225" s="269"/>
      <c r="E225" s="293"/>
      <c r="F225" s="293"/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25">
        <f t="shared" si="87"/>
        <v>0</v>
      </c>
      <c r="S225">
        <f t="shared" si="88"/>
        <v>12</v>
      </c>
    </row>
    <row r="226" spans="2:19">
      <c r="B226" s="272" t="s">
        <v>127</v>
      </c>
      <c r="C226" s="274">
        <f>VLOOKUP(B226,'Budget Detail'!$A$16:$F$254,3,FALSE)</f>
        <v>0</v>
      </c>
      <c r="D226" s="269"/>
      <c r="E226" s="293"/>
      <c r="F226" s="293"/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25">
        <f t="shared" si="87"/>
        <v>0</v>
      </c>
      <c r="S226">
        <f t="shared" si="88"/>
        <v>12</v>
      </c>
    </row>
    <row r="227" spans="2:19">
      <c r="B227" s="276" t="s">
        <v>128</v>
      </c>
      <c r="C227" s="277">
        <f>((C224)+(C225))+(C226)</f>
        <v>0</v>
      </c>
      <c r="D227" s="269"/>
      <c r="E227" s="293"/>
      <c r="F227" s="293"/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25">
        <f t="shared" si="87"/>
        <v>0</v>
      </c>
      <c r="S227">
        <f t="shared" si="88"/>
        <v>12</v>
      </c>
    </row>
    <row r="228" spans="2:19">
      <c r="B228" s="283" t="s">
        <v>129</v>
      </c>
      <c r="C228" s="282" t="e">
        <f>(((((((((((((((((((((((C109)+(C124))+(C128))+(C137))+(C140))+(C146))+(C151))+(C158))+(C162))+(C169))+(C172))+(C176))+(C180))+(C184))+(C189))+(C192))+(C195))+(C198))+(C202))+(C205))+(C212))+(C216))+(C223))+(C227)</f>
        <v>#N/A</v>
      </c>
      <c r="D228" s="270"/>
      <c r="E228" s="295" t="e">
        <f t="shared" ref="E228:Q228" si="106">(((((((((((((((((((((((E109)+(E124))+(E128))+(E137))+(E140))+(E146))+(E151))+(E158))+(E162))+(E169))+(E172))+(E176))+(E180))+(E184))+(E189))+(E192))+(E195))+(E198))+(E202))+(E205))+(E212))+(E216))+(E223))+(E227)</f>
        <v>#N/A</v>
      </c>
      <c r="F228" s="295" t="e">
        <f t="shared" si="106"/>
        <v>#N/A</v>
      </c>
      <c r="G228" s="295" t="e">
        <f t="shared" si="106"/>
        <v>#N/A</v>
      </c>
      <c r="H228" s="295" t="e">
        <f t="shared" si="106"/>
        <v>#N/A</v>
      </c>
      <c r="I228" s="295" t="e">
        <f t="shared" si="106"/>
        <v>#N/A</v>
      </c>
      <c r="J228" s="295" t="e">
        <f t="shared" si="106"/>
        <v>#N/A</v>
      </c>
      <c r="K228" s="295" t="e">
        <f t="shared" si="106"/>
        <v>#N/A</v>
      </c>
      <c r="L228" s="295" t="e">
        <f t="shared" si="106"/>
        <v>#N/A</v>
      </c>
      <c r="M228" s="295" t="e">
        <f t="shared" si="106"/>
        <v>#N/A</v>
      </c>
      <c r="N228" s="295" t="e">
        <f t="shared" si="106"/>
        <v>#N/A</v>
      </c>
      <c r="O228" s="295" t="e">
        <f t="shared" si="106"/>
        <v>#N/A</v>
      </c>
      <c r="P228" s="295" t="e">
        <f t="shared" si="106"/>
        <v>#N/A</v>
      </c>
      <c r="Q228" s="295" t="e">
        <f t="shared" si="106"/>
        <v>#N/A</v>
      </c>
      <c r="R228" s="225" t="e">
        <f t="shared" si="87"/>
        <v>#N/A</v>
      </c>
      <c r="S228">
        <f t="shared" si="88"/>
        <v>12</v>
      </c>
    </row>
    <row r="229" spans="2:19">
      <c r="B229" s="289" t="s">
        <v>130</v>
      </c>
      <c r="C229" s="290" t="e">
        <f>(C55)-(C228)</f>
        <v>#N/A</v>
      </c>
      <c r="D229" s="269"/>
      <c r="E229" s="293"/>
      <c r="F229" s="293"/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25" t="e">
        <f t="shared" si="87"/>
        <v>#N/A</v>
      </c>
      <c r="S229">
        <f t="shared" si="88"/>
        <v>12</v>
      </c>
    </row>
    <row r="230" spans="2:19">
      <c r="B230" s="273"/>
      <c r="C230" s="273"/>
      <c r="D230" s="269"/>
      <c r="E230" s="293"/>
      <c r="F230" s="293"/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25">
        <f t="shared" si="87"/>
        <v>0</v>
      </c>
      <c r="S230">
        <f t="shared" si="88"/>
        <v>12</v>
      </c>
    </row>
    <row r="231" spans="2:19">
      <c r="B231" s="278" t="s">
        <v>383</v>
      </c>
      <c r="C231" s="273"/>
      <c r="D231" s="269"/>
      <c r="E231" s="293"/>
      <c r="F231" s="293"/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25">
        <f t="shared" si="87"/>
        <v>0</v>
      </c>
      <c r="S231">
        <f t="shared" si="88"/>
        <v>12</v>
      </c>
    </row>
    <row r="232" spans="2:19">
      <c r="B232" s="291" t="s">
        <v>462</v>
      </c>
      <c r="C232" s="274" t="e">
        <f>VLOOKUP(B232,'Budget Detail'!$A$16:$F$254,3,FALSE)</f>
        <v>#N/A</v>
      </c>
      <c r="D232" s="269"/>
      <c r="E232" s="293"/>
      <c r="F232" s="293"/>
      <c r="G232" s="293"/>
      <c r="H232" s="293"/>
      <c r="I232" s="293"/>
      <c r="J232" s="293"/>
      <c r="K232" s="293"/>
      <c r="L232" s="293"/>
      <c r="M232" s="293"/>
      <c r="N232" s="293"/>
      <c r="O232" s="293"/>
      <c r="P232" s="293" t="e">
        <f>C232</f>
        <v>#N/A</v>
      </c>
      <c r="Q232" s="293"/>
      <c r="R232" s="225" t="e">
        <f t="shared" si="87"/>
        <v>#N/A</v>
      </c>
      <c r="S232">
        <f t="shared" si="88"/>
        <v>12</v>
      </c>
    </row>
    <row r="233" spans="2:19">
      <c r="B233" s="291" t="s">
        <v>463</v>
      </c>
      <c r="C233" s="274" t="e">
        <f>VLOOKUP(B233,'Budget Detail'!$A$16:$F$254,3,FALSE)</f>
        <v>#N/A</v>
      </c>
      <c r="D233" s="269"/>
      <c r="E233" s="293"/>
      <c r="F233" s="293"/>
      <c r="G233" s="293"/>
      <c r="H233" s="293"/>
      <c r="I233" s="293"/>
      <c r="J233" s="293"/>
      <c r="K233" s="293"/>
      <c r="L233" s="293"/>
      <c r="M233" s="293"/>
      <c r="N233" s="293"/>
      <c r="O233" s="293"/>
      <c r="P233" s="293" t="e">
        <f t="shared" ref="P233:P239" si="107">C233</f>
        <v>#N/A</v>
      </c>
      <c r="Q233" s="293"/>
      <c r="R233" s="225" t="e">
        <f t="shared" si="87"/>
        <v>#N/A</v>
      </c>
      <c r="S233">
        <f t="shared" si="88"/>
        <v>12</v>
      </c>
    </row>
    <row r="234" spans="2:19">
      <c r="B234" s="291" t="s">
        <v>479</v>
      </c>
      <c r="C234" s="274" t="e">
        <f>VLOOKUP(B234,'Budget Detail'!$A$16:$F$254,3,FALSE)</f>
        <v>#N/A</v>
      </c>
      <c r="D234" s="269"/>
      <c r="E234" s="293"/>
      <c r="F234" s="293"/>
      <c r="G234" s="293"/>
      <c r="H234" s="293"/>
      <c r="I234" s="293"/>
      <c r="J234" s="293"/>
      <c r="K234" s="293"/>
      <c r="L234" s="293"/>
      <c r="M234" s="293"/>
      <c r="N234" s="293"/>
      <c r="O234" s="293"/>
      <c r="P234" s="293" t="e">
        <f t="shared" si="107"/>
        <v>#N/A</v>
      </c>
      <c r="Q234" s="293"/>
      <c r="R234" s="225" t="e">
        <f t="shared" si="87"/>
        <v>#N/A</v>
      </c>
      <c r="S234">
        <f t="shared" si="88"/>
        <v>12</v>
      </c>
    </row>
    <row r="235" spans="2:19">
      <c r="B235" s="291" t="s">
        <v>480</v>
      </c>
      <c r="C235" s="274" t="e">
        <f>VLOOKUP(B235,'Budget Detail'!$A$16:$F$254,3,FALSE)</f>
        <v>#N/A</v>
      </c>
      <c r="D235" s="269"/>
      <c r="E235" s="293"/>
      <c r="F235" s="293"/>
      <c r="G235" s="293"/>
      <c r="H235" s="293"/>
      <c r="I235" s="293"/>
      <c r="J235" s="293"/>
      <c r="K235" s="293"/>
      <c r="L235" s="293"/>
      <c r="M235" s="293"/>
      <c r="N235" s="293"/>
      <c r="O235" s="293"/>
      <c r="P235" s="293" t="e">
        <f t="shared" si="107"/>
        <v>#N/A</v>
      </c>
      <c r="Q235" s="293"/>
      <c r="R235" s="225" t="e">
        <f t="shared" si="87"/>
        <v>#N/A</v>
      </c>
      <c r="S235">
        <f t="shared" si="88"/>
        <v>12</v>
      </c>
    </row>
    <row r="236" spans="2:19">
      <c r="B236" s="291" t="s">
        <v>464</v>
      </c>
      <c r="C236" s="274" t="e">
        <f>VLOOKUP(B236,'Budget Detail'!$A$16:$F$254,3,FALSE)</f>
        <v>#N/A</v>
      </c>
      <c r="D236" s="269"/>
      <c r="E236" s="293"/>
      <c r="F236" s="293"/>
      <c r="G236" s="293"/>
      <c r="H236" s="293"/>
      <c r="I236" s="293"/>
      <c r="J236" s="293"/>
      <c r="K236" s="293"/>
      <c r="L236" s="293"/>
      <c r="M236" s="293"/>
      <c r="N236" s="293"/>
      <c r="O236" s="293"/>
      <c r="P236" s="293" t="e">
        <f t="shared" si="107"/>
        <v>#N/A</v>
      </c>
      <c r="Q236" s="293"/>
      <c r="R236" s="225" t="e">
        <f t="shared" si="87"/>
        <v>#N/A</v>
      </c>
      <c r="S236">
        <f t="shared" si="88"/>
        <v>12</v>
      </c>
    </row>
    <row r="237" spans="2:19">
      <c r="B237" s="291" t="s">
        <v>481</v>
      </c>
      <c r="C237" s="274" t="e">
        <f>VLOOKUP(B237,'Budget Detail'!$A$16:$F$254,3,FALSE)</f>
        <v>#N/A</v>
      </c>
      <c r="D237" s="269"/>
      <c r="E237" s="293"/>
      <c r="F237" s="293"/>
      <c r="G237" s="293"/>
      <c r="H237" s="293"/>
      <c r="I237" s="293"/>
      <c r="J237" s="293"/>
      <c r="K237" s="293"/>
      <c r="L237" s="293"/>
      <c r="M237" s="293"/>
      <c r="N237" s="293"/>
      <c r="O237" s="293"/>
      <c r="P237" s="293" t="e">
        <f t="shared" si="107"/>
        <v>#N/A</v>
      </c>
      <c r="Q237" s="293"/>
      <c r="R237" s="225" t="e">
        <f t="shared" si="87"/>
        <v>#N/A</v>
      </c>
      <c r="S237">
        <f t="shared" si="88"/>
        <v>12</v>
      </c>
    </row>
    <row r="238" spans="2:19">
      <c r="B238" s="291" t="s">
        <v>482</v>
      </c>
      <c r="C238" s="274" t="e">
        <f>VLOOKUP(B238,'Budget Detail'!$A$16:$F$254,3,FALSE)</f>
        <v>#N/A</v>
      </c>
      <c r="D238" s="269"/>
      <c r="E238" s="293"/>
      <c r="F238" s="293"/>
      <c r="G238" s="293"/>
      <c r="H238" s="293"/>
      <c r="I238" s="293"/>
      <c r="J238" s="293"/>
      <c r="K238" s="293"/>
      <c r="L238" s="293"/>
      <c r="M238" s="293"/>
      <c r="N238" s="293"/>
      <c r="O238" s="293"/>
      <c r="P238" s="293" t="e">
        <f t="shared" si="107"/>
        <v>#N/A</v>
      </c>
      <c r="Q238" s="293"/>
      <c r="R238" s="225" t="e">
        <f t="shared" si="87"/>
        <v>#N/A</v>
      </c>
      <c r="S238">
        <f t="shared" si="88"/>
        <v>12</v>
      </c>
    </row>
    <row r="239" spans="2:19">
      <c r="B239" s="278" t="s">
        <v>465</v>
      </c>
      <c r="C239" s="274" t="e">
        <f>VLOOKUP(B239,'Budget Detail'!$A$16:$F$254,3,FALSE)</f>
        <v>#N/A</v>
      </c>
      <c r="D239" s="269"/>
      <c r="E239" s="293"/>
      <c r="F239" s="293"/>
      <c r="G239" s="293"/>
      <c r="H239" s="293"/>
      <c r="I239" s="293"/>
      <c r="J239" s="293"/>
      <c r="K239" s="293"/>
      <c r="L239" s="293"/>
      <c r="M239" s="293"/>
      <c r="N239" s="293"/>
      <c r="O239" s="293"/>
      <c r="P239" s="293" t="e">
        <f t="shared" si="107"/>
        <v>#N/A</v>
      </c>
      <c r="Q239" s="293"/>
      <c r="R239" s="225" t="e">
        <f t="shared" si="87"/>
        <v>#N/A</v>
      </c>
      <c r="S239">
        <f t="shared" si="88"/>
        <v>12</v>
      </c>
    </row>
    <row r="240" spans="2:19">
      <c r="B240" s="280" t="s">
        <v>466</v>
      </c>
      <c r="C240" s="277" t="e">
        <f>SUM(C232:C239)</f>
        <v>#N/A</v>
      </c>
      <c r="D240" s="270"/>
      <c r="E240" s="294">
        <f t="shared" ref="E240" si="108">SUM(E232:E239)</f>
        <v>0</v>
      </c>
      <c r="F240" s="294">
        <f t="shared" ref="F240" si="109">SUM(F232:F239)</f>
        <v>0</v>
      </c>
      <c r="G240" s="294">
        <f t="shared" ref="G240" si="110">SUM(G232:G239)</f>
        <v>0</v>
      </c>
      <c r="H240" s="294">
        <f t="shared" ref="H240" si="111">SUM(H232:H239)</f>
        <v>0</v>
      </c>
      <c r="I240" s="294">
        <f t="shared" ref="I240" si="112">SUM(I232:I239)</f>
        <v>0</v>
      </c>
      <c r="J240" s="294">
        <f t="shared" ref="J240" si="113">SUM(J232:J239)</f>
        <v>0</v>
      </c>
      <c r="K240" s="294">
        <f t="shared" ref="K240" si="114">SUM(K232:K239)</f>
        <v>0</v>
      </c>
      <c r="L240" s="294">
        <f t="shared" ref="L240" si="115">SUM(L232:L239)</f>
        <v>0</v>
      </c>
      <c r="M240" s="294">
        <f t="shared" ref="M240" si="116">SUM(M232:M239)</f>
        <v>0</v>
      </c>
      <c r="N240" s="294">
        <f t="shared" ref="N240" si="117">SUM(N232:N239)</f>
        <v>0</v>
      </c>
      <c r="O240" s="294">
        <f t="shared" ref="O240" si="118">SUM(O232:O239)</f>
        <v>0</v>
      </c>
      <c r="P240" s="294" t="e">
        <f t="shared" ref="P240" si="119">SUM(P232:P239)</f>
        <v>#N/A</v>
      </c>
      <c r="Q240" s="294">
        <f t="shared" ref="Q240" si="120">SUM(Q232:Q239)</f>
        <v>0</v>
      </c>
      <c r="R240" s="225" t="e">
        <f t="shared" si="87"/>
        <v>#N/A</v>
      </c>
      <c r="S240">
        <f t="shared" si="88"/>
        <v>12</v>
      </c>
    </row>
    <row r="242" spans="2:2">
      <c r="B242" s="275"/>
    </row>
  </sheetData>
  <mergeCells count="2">
    <mergeCell ref="B1:Q1"/>
    <mergeCell ref="B2:Q2"/>
  </mergeCells>
  <conditionalFormatting sqref="D5:D10 K9:K10 H9 F10 D13:D16 F12:Q13 F14:P15 F5:P5 E8:P8 E16:P16">
    <cfRule type="cellIs" dxfId="19" priority="20" operator="lessThan">
      <formula>0</formula>
    </cfRule>
  </conditionalFormatting>
  <conditionalFormatting sqref="G10:I10 G9 I9">
    <cfRule type="cellIs" dxfId="18" priority="19" operator="lessThan">
      <formula>0</formula>
    </cfRule>
  </conditionalFormatting>
  <conditionalFormatting sqref="J9:J10">
    <cfRule type="cellIs" dxfId="17" priority="18" operator="lessThan">
      <formula>0</formula>
    </cfRule>
  </conditionalFormatting>
  <conditionalFormatting sqref="L9:N10">
    <cfRule type="cellIs" dxfId="16" priority="17" operator="lessThan">
      <formula>0</formula>
    </cfRule>
  </conditionalFormatting>
  <conditionalFormatting sqref="O9:P10">
    <cfRule type="cellIs" dxfId="15" priority="16" operator="lessThan">
      <formula>0</formula>
    </cfRule>
  </conditionalFormatting>
  <conditionalFormatting sqref="F9">
    <cfRule type="cellIs" dxfId="14" priority="15" operator="lessThan">
      <formula>0</formula>
    </cfRule>
  </conditionalFormatting>
  <conditionalFormatting sqref="D4 F4:P4">
    <cfRule type="cellIs" dxfId="13" priority="14" operator="lessThan">
      <formula>0</formula>
    </cfRule>
  </conditionalFormatting>
  <conditionalFormatting sqref="S4">
    <cfRule type="cellIs" dxfId="12" priority="13" operator="lessThan">
      <formula>0</formula>
    </cfRule>
  </conditionalFormatting>
  <conditionalFormatting sqref="C4">
    <cfRule type="cellIs" dxfId="11" priority="12" operator="lessThan">
      <formula>0</formula>
    </cfRule>
  </conditionalFormatting>
  <conditionalFormatting sqref="B4">
    <cfRule type="cellIs" dxfId="10" priority="11" operator="lessThan">
      <formula>0</formula>
    </cfRule>
  </conditionalFormatting>
  <conditionalFormatting sqref="U4">
    <cfRule type="cellIs" dxfId="9" priority="10" operator="lessThan">
      <formula>0</formula>
    </cfRule>
  </conditionalFormatting>
  <conditionalFormatting sqref="C5 C11:C16 C8">
    <cfRule type="cellIs" dxfId="8" priority="9" operator="lessThan">
      <formula>0</formula>
    </cfRule>
  </conditionalFormatting>
  <conditionalFormatting sqref="C9:C10">
    <cfRule type="cellIs" dxfId="7" priority="8" operator="lessThan">
      <formula>0</formula>
    </cfRule>
  </conditionalFormatting>
  <conditionalFormatting sqref="C6:C7">
    <cfRule type="cellIs" dxfId="6" priority="7" operator="lessThan">
      <formula>0</formula>
    </cfRule>
  </conditionalFormatting>
  <conditionalFormatting sqref="Q5 Q14:Q16 Q8">
    <cfRule type="cellIs" dxfId="5" priority="6" operator="lessThan">
      <formula>0</formula>
    </cfRule>
  </conditionalFormatting>
  <conditionalFormatting sqref="Q9:Q10">
    <cfRule type="cellIs" dxfId="4" priority="5" operator="lessThan">
      <formula>0</formula>
    </cfRule>
  </conditionalFormatting>
  <conditionalFormatting sqref="Q4">
    <cfRule type="cellIs" dxfId="3" priority="4" operator="lessThan">
      <formula>0</formula>
    </cfRule>
  </conditionalFormatting>
  <conditionalFormatting sqref="E5:E7 E10:E15 F6:Q7 F11:Q11">
    <cfRule type="cellIs" dxfId="2" priority="3" operator="lessThan">
      <formula>0</formula>
    </cfRule>
  </conditionalFormatting>
  <conditionalFormatting sqref="E9">
    <cfRule type="cellIs" dxfId="1" priority="2" operator="lessThan">
      <formula>0</formula>
    </cfRule>
  </conditionalFormatting>
  <conditionalFormatting sqref="E4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BC6D-5048-2C4B-824F-D62BEA363636}">
  <sheetPr>
    <tabColor rgb="FF00B050"/>
    <pageSetUpPr fitToPage="1"/>
  </sheetPr>
  <dimension ref="B2:K67"/>
  <sheetViews>
    <sheetView showGridLines="0" tabSelected="1" zoomScaleNormal="100" workbookViewId="0">
      <selection activeCell="D62" sqref="D62"/>
    </sheetView>
  </sheetViews>
  <sheetFormatPr defaultColWidth="10.64453125" defaultRowHeight="14.35"/>
  <cols>
    <col min="1" max="1" width="3" customWidth="1"/>
    <col min="2" max="2" width="7.3515625" customWidth="1"/>
    <col min="3" max="3" width="28.1171875" bestFit="1" customWidth="1"/>
    <col min="4" max="5" width="16.8203125" customWidth="1"/>
    <col min="6" max="6" width="16.3515625" style="784" customWidth="1"/>
    <col min="7" max="7" width="14.8203125" style="784" customWidth="1"/>
    <col min="8" max="8" width="63" customWidth="1"/>
    <col min="9" max="9" width="4.1171875" customWidth="1"/>
    <col min="10" max="10" width="21.8203125" bestFit="1" customWidth="1"/>
    <col min="11" max="11" width="12.64453125" bestFit="1" customWidth="1"/>
  </cols>
  <sheetData>
    <row r="2" spans="2:11" ht="18.350000000000001" thickBot="1">
      <c r="D2" s="851" t="s">
        <v>1043</v>
      </c>
      <c r="E2" s="842" t="s">
        <v>919</v>
      </c>
      <c r="F2" s="843" t="s">
        <v>832</v>
      </c>
      <c r="G2" s="838" t="s">
        <v>1042</v>
      </c>
    </row>
    <row r="3" spans="2:11">
      <c r="D3" s="846"/>
      <c r="E3" s="842" t="s">
        <v>1037</v>
      </c>
      <c r="F3" s="842"/>
    </row>
    <row r="4" spans="2:11" ht="23.35">
      <c r="B4" s="816"/>
      <c r="C4" s="817" t="s">
        <v>970</v>
      </c>
      <c r="D4" s="847">
        <f>'Budget Detail'!E53</f>
        <v>605125.4</v>
      </c>
      <c r="E4" s="818">
        <f>'Budget Detail'!G53</f>
        <v>3026229.8000000003</v>
      </c>
      <c r="F4" s="858">
        <f>D4/E4</f>
        <v>0.19996016165064529</v>
      </c>
      <c r="G4" s="818">
        <f>E4-D4</f>
        <v>2421104.4000000004</v>
      </c>
      <c r="H4" s="816"/>
      <c r="J4" s="799" t="s">
        <v>970</v>
      </c>
      <c r="K4" s="857">
        <f>'Budget Detail'!E12</f>
        <v>605125.4</v>
      </c>
    </row>
    <row r="5" spans="2:11" ht="18">
      <c r="D5" s="848"/>
      <c r="F5" s="785"/>
      <c r="J5" s="799" t="s">
        <v>30</v>
      </c>
      <c r="K5" s="857">
        <f>'Budget Detail'!E13</f>
        <v>701547.34999999986</v>
      </c>
    </row>
    <row r="6" spans="2:11" ht="21" thickBot="1">
      <c r="B6" s="813" t="s">
        <v>983</v>
      </c>
      <c r="C6" s="797"/>
      <c r="D6" s="849"/>
      <c r="E6" s="797"/>
      <c r="F6" s="805"/>
      <c r="G6" s="798"/>
      <c r="J6" s="823" t="s">
        <v>1015</v>
      </c>
      <c r="K6" s="824">
        <f>'Budget Detail'!E14</f>
        <v>-96421.949999999837</v>
      </c>
    </row>
    <row r="7" spans="2:11" ht="18">
      <c r="B7" s="800"/>
      <c r="C7" s="801" t="s">
        <v>971</v>
      </c>
      <c r="D7" s="830">
        <f>'Budget Detail'!E111</f>
        <v>216378.23999999999</v>
      </c>
      <c r="E7" s="802">
        <f>'Budget Detail'!G111</f>
        <v>1277346.1220450001</v>
      </c>
      <c r="F7" s="859">
        <f t="shared" ref="F7:F16" si="0">D7/E7</f>
        <v>0.16939671735455986</v>
      </c>
      <c r="G7" s="802">
        <f t="shared" ref="G7:G16" si="1">E7-D7</f>
        <v>1060967.8820450001</v>
      </c>
      <c r="H7" s="789"/>
      <c r="J7" s="799" t="s">
        <v>1016</v>
      </c>
      <c r="K7" s="857">
        <f>'Budget Detail'!E15</f>
        <v>26108.490000000165</v>
      </c>
    </row>
    <row r="8" spans="2:11" ht="18">
      <c r="B8" s="803"/>
      <c r="C8" s="804" t="s">
        <v>972</v>
      </c>
      <c r="D8" s="829">
        <f>'Budget Detail'!E221</f>
        <v>125000.01</v>
      </c>
      <c r="E8" s="805">
        <f>'Budget Detail'!G221</f>
        <v>526000</v>
      </c>
      <c r="F8" s="860">
        <f t="shared" si="0"/>
        <v>0.23764260456273764</v>
      </c>
      <c r="G8" s="805">
        <f t="shared" si="1"/>
        <v>400999.99</v>
      </c>
      <c r="H8" s="791"/>
      <c r="J8" s="799"/>
      <c r="K8" s="799"/>
    </row>
    <row r="9" spans="2:11" ht="18">
      <c r="B9" s="803"/>
      <c r="C9" s="804" t="s">
        <v>973</v>
      </c>
      <c r="D9" s="829">
        <f>'Budget Detail'!E222+'Budget Detail'!E223+'Budget Detail'!E224+'Budget Detail'!E225</f>
        <v>28198.05</v>
      </c>
      <c r="E9" s="805">
        <f>'Budget Detail'!G222+'Budget Detail'!G223+'Budget Detail'!G224+'Budget Detail'!G225</f>
        <v>168072</v>
      </c>
      <c r="F9" s="860">
        <f t="shared" si="0"/>
        <v>0.1677736327288305</v>
      </c>
      <c r="G9" s="805">
        <f t="shared" si="1"/>
        <v>139873.95000000001</v>
      </c>
      <c r="H9" s="791"/>
      <c r="J9" s="799"/>
      <c r="K9" s="799"/>
    </row>
    <row r="10" spans="2:11" ht="18">
      <c r="B10" s="803"/>
      <c r="C10" s="804" t="s">
        <v>542</v>
      </c>
      <c r="D10" s="829">
        <f>'Balance Sheet'!B13</f>
        <v>20000</v>
      </c>
      <c r="E10" s="805">
        <f>'Budget Detail'!G259</f>
        <v>20000</v>
      </c>
      <c r="F10" s="860">
        <f t="shared" si="0"/>
        <v>1</v>
      </c>
      <c r="G10" s="805">
        <f t="shared" si="1"/>
        <v>0</v>
      </c>
      <c r="H10" s="791"/>
      <c r="J10" s="852"/>
      <c r="K10" s="853"/>
    </row>
    <row r="11" spans="2:11" ht="18">
      <c r="B11" s="803"/>
      <c r="C11" s="804" t="s">
        <v>978</v>
      </c>
      <c r="D11" s="829">
        <f>'Budget Detail'!E172</f>
        <v>9355.52</v>
      </c>
      <c r="E11" s="805">
        <f>'Budget Detail'!G172</f>
        <v>82800</v>
      </c>
      <c r="F11" s="860">
        <f t="shared" si="0"/>
        <v>0.11298937198067634</v>
      </c>
      <c r="G11" s="805">
        <f t="shared" si="1"/>
        <v>73444.479999999996</v>
      </c>
      <c r="H11" s="791"/>
      <c r="J11" s="852"/>
      <c r="K11" s="854"/>
    </row>
    <row r="12" spans="2:11" ht="18">
      <c r="B12" s="803"/>
      <c r="C12" s="804" t="s">
        <v>974</v>
      </c>
      <c r="D12" s="829">
        <f>'Budget Detail'!E217</f>
        <v>7695.35</v>
      </c>
      <c r="E12" s="805">
        <f>'Budget Detail'!G217</f>
        <v>39471</v>
      </c>
      <c r="F12" s="860">
        <f t="shared" si="0"/>
        <v>0.19496212409110486</v>
      </c>
      <c r="G12" s="805">
        <f t="shared" si="1"/>
        <v>31775.65</v>
      </c>
      <c r="H12" s="791"/>
      <c r="J12" s="855"/>
      <c r="K12" s="856"/>
    </row>
    <row r="13" spans="2:11" ht="15.7">
      <c r="B13" s="803"/>
      <c r="C13" s="804" t="s">
        <v>976</v>
      </c>
      <c r="D13" s="829">
        <f>'Budget Detail'!E187</f>
        <v>6258.5</v>
      </c>
      <c r="E13" s="805">
        <f>'Budget Detail'!G187</f>
        <v>27740</v>
      </c>
      <c r="F13" s="860">
        <f t="shared" si="0"/>
        <v>0.22561283345349675</v>
      </c>
      <c r="G13" s="805">
        <f t="shared" si="1"/>
        <v>21481.5</v>
      </c>
      <c r="H13" s="791"/>
    </row>
    <row r="14" spans="2:11" ht="15.7">
      <c r="B14" s="803"/>
      <c r="C14" s="804" t="s">
        <v>982</v>
      </c>
      <c r="D14" s="829">
        <f>'Budget Detail'!E165</f>
        <v>4023.23</v>
      </c>
      <c r="E14" s="805">
        <f>'Budget Detail'!G165</f>
        <v>8492</v>
      </c>
      <c r="F14" s="860">
        <f t="shared" si="0"/>
        <v>0.47376707489401793</v>
      </c>
      <c r="G14" s="805">
        <f t="shared" si="1"/>
        <v>4468.7700000000004</v>
      </c>
      <c r="H14" s="791"/>
    </row>
    <row r="15" spans="2:11" ht="16" thickBot="1">
      <c r="B15" s="806"/>
      <c r="C15" s="807" t="s">
        <v>975</v>
      </c>
      <c r="D15" s="831">
        <f>'Budget Detail'!E201</f>
        <v>59.85</v>
      </c>
      <c r="E15" s="808">
        <f>'Budget Detail'!G201</f>
        <v>8000</v>
      </c>
      <c r="F15" s="861">
        <f t="shared" si="0"/>
        <v>7.4812500000000001E-3</v>
      </c>
      <c r="G15" s="808">
        <f t="shared" si="1"/>
        <v>7940.15</v>
      </c>
      <c r="H15" s="795"/>
    </row>
    <row r="16" spans="2:11" ht="16" thickBot="1">
      <c r="B16" s="826">
        <f>E16/$B$64</f>
        <v>0.73087624099493465</v>
      </c>
      <c r="C16" s="807"/>
      <c r="D16" s="832">
        <f t="shared" ref="D16" si="2">SUM(D7:D15)</f>
        <v>416968.74999999994</v>
      </c>
      <c r="E16" s="809">
        <f>SUM(E7:E15)</f>
        <v>2157921.1220450001</v>
      </c>
      <c r="F16" s="862">
        <f t="shared" si="0"/>
        <v>0.19322705808859714</v>
      </c>
      <c r="G16" s="809">
        <f t="shared" si="1"/>
        <v>1740952.3720450001</v>
      </c>
      <c r="H16" s="795"/>
    </row>
    <row r="17" spans="2:8" ht="15.7">
      <c r="B17" s="804"/>
      <c r="C17" s="804"/>
      <c r="D17" s="849"/>
      <c r="E17" s="811"/>
      <c r="F17" s="844"/>
      <c r="G17" s="844"/>
      <c r="H17" s="845"/>
    </row>
    <row r="18" spans="2:8" ht="21" thickBot="1">
      <c r="B18" s="813" t="s">
        <v>984</v>
      </c>
      <c r="C18" s="797"/>
      <c r="D18" s="849"/>
      <c r="E18" s="797"/>
      <c r="F18" s="805"/>
      <c r="G18" s="798"/>
    </row>
    <row r="19" spans="2:8" ht="15.7">
      <c r="B19" s="800"/>
      <c r="C19" s="801" t="s">
        <v>980</v>
      </c>
      <c r="D19" s="830">
        <f>'Budget Detail'!E140</f>
        <v>22063.65</v>
      </c>
      <c r="E19" s="802">
        <f>'Budget Detail'!G140</f>
        <v>44547.6</v>
      </c>
      <c r="F19" s="859">
        <f t="shared" ref="F19:F23" si="3">D19/E19</f>
        <v>0.49528257414540855</v>
      </c>
      <c r="G19" s="802">
        <f>E19-D19</f>
        <v>22483.949999999997</v>
      </c>
      <c r="H19" s="789"/>
    </row>
    <row r="20" spans="2:8" ht="15.7">
      <c r="B20" s="803"/>
      <c r="C20" s="804" t="s">
        <v>979</v>
      </c>
      <c r="D20" s="829">
        <f>'Budget Detail'!E149</f>
        <v>15528.21</v>
      </c>
      <c r="E20" s="805">
        <f>'Budget Detail'!G149</f>
        <v>43990</v>
      </c>
      <c r="F20" s="860">
        <f t="shared" si="3"/>
        <v>0.35299408956581041</v>
      </c>
      <c r="G20" s="805">
        <f>E20-D20</f>
        <v>28461.79</v>
      </c>
      <c r="H20" s="791"/>
    </row>
    <row r="21" spans="2:8" ht="15.7">
      <c r="B21" s="803"/>
      <c r="C21" s="804" t="s">
        <v>977</v>
      </c>
      <c r="D21" s="829">
        <f>'Budget Detail'!E175</f>
        <v>0</v>
      </c>
      <c r="E21" s="805">
        <f>'Budget Detail'!G175</f>
        <v>34000</v>
      </c>
      <c r="F21" s="860">
        <f t="shared" si="3"/>
        <v>0</v>
      </c>
      <c r="G21" s="805">
        <f>E21-D21</f>
        <v>34000</v>
      </c>
      <c r="H21" s="791"/>
    </row>
    <row r="22" spans="2:8" ht="16" thickBot="1">
      <c r="B22" s="806"/>
      <c r="C22" s="807" t="s">
        <v>981</v>
      </c>
      <c r="D22" s="831">
        <f>'Budget Detail'!E143</f>
        <v>0</v>
      </c>
      <c r="E22" s="808">
        <f>'Budget Detail'!G143</f>
        <v>2400</v>
      </c>
      <c r="F22" s="861">
        <f t="shared" si="3"/>
        <v>0</v>
      </c>
      <c r="G22" s="808">
        <f>E22-D22</f>
        <v>2400</v>
      </c>
      <c r="H22" s="795"/>
    </row>
    <row r="23" spans="2:8" ht="16" thickBot="1">
      <c r="B23" s="826">
        <f>E23/$B$64</f>
        <v>4.2315691020435982E-2</v>
      </c>
      <c r="C23" s="807"/>
      <c r="D23" s="832">
        <f t="shared" ref="D23" si="4">SUM(D19:D22)</f>
        <v>37591.86</v>
      </c>
      <c r="E23" s="809">
        <f>SUM(E19:E22)</f>
        <v>124937.60000000001</v>
      </c>
      <c r="F23" s="862">
        <f t="shared" si="3"/>
        <v>0.30088508183285095</v>
      </c>
      <c r="G23" s="809">
        <f>E23-D23</f>
        <v>87345.74</v>
      </c>
      <c r="H23" s="795"/>
    </row>
    <row r="24" spans="2:8" ht="15.7">
      <c r="B24" s="804"/>
      <c r="C24" s="804"/>
      <c r="D24" s="849"/>
      <c r="E24" s="804"/>
      <c r="F24" s="810"/>
      <c r="G24" s="810"/>
      <c r="H24" s="273"/>
    </row>
    <row r="25" spans="2:8" ht="21" thickBot="1">
      <c r="B25" s="813" t="s">
        <v>985</v>
      </c>
      <c r="C25" s="797"/>
      <c r="D25" s="849"/>
      <c r="E25" s="797"/>
      <c r="F25" s="805"/>
      <c r="G25" s="798"/>
    </row>
    <row r="26" spans="2:8" ht="15.7">
      <c r="B26" s="800"/>
      <c r="C26" s="801" t="s">
        <v>989</v>
      </c>
      <c r="D26" s="830">
        <f>'Budget Detail'!E192</f>
        <v>157.9</v>
      </c>
      <c r="E26" s="802">
        <f>'Budget Detail'!G192</f>
        <v>31000</v>
      </c>
      <c r="F26" s="859">
        <f t="shared" ref="F26:F34" si="5">D26/E26</f>
        <v>5.0935483870967746E-3</v>
      </c>
      <c r="G26" s="802">
        <f t="shared" ref="G26:G34" si="6">E26-D26</f>
        <v>30842.1</v>
      </c>
      <c r="H26" s="789"/>
    </row>
    <row r="27" spans="2:8" ht="15.7">
      <c r="B27" s="803"/>
      <c r="C27" s="804" t="s">
        <v>987</v>
      </c>
      <c r="D27" s="829">
        <f>'Budget Detail'!E161</f>
        <v>8873.25</v>
      </c>
      <c r="E27" s="805">
        <f>'Budget Detail'!G161</f>
        <v>23312</v>
      </c>
      <c r="F27" s="860">
        <f t="shared" si="5"/>
        <v>0.38063014756348662</v>
      </c>
      <c r="G27" s="805">
        <f t="shared" si="6"/>
        <v>14438.75</v>
      </c>
      <c r="H27" s="791"/>
    </row>
    <row r="28" spans="2:8" ht="15.7">
      <c r="B28" s="803"/>
      <c r="C28" s="804" t="s">
        <v>991</v>
      </c>
      <c r="D28" s="829">
        <f>'Budget Detail'!E198</f>
        <v>2051.87</v>
      </c>
      <c r="E28" s="805">
        <f>'Budget Detail'!G198</f>
        <v>18060</v>
      </c>
      <c r="F28" s="860">
        <f t="shared" si="5"/>
        <v>0.1136140642303433</v>
      </c>
      <c r="G28" s="805">
        <f t="shared" si="6"/>
        <v>16008.130000000001</v>
      </c>
      <c r="H28" s="791"/>
    </row>
    <row r="29" spans="2:8" ht="15.7">
      <c r="B29" s="803"/>
      <c r="C29" s="804" t="s">
        <v>986</v>
      </c>
      <c r="D29" s="829">
        <f>'Budget Detail'!E154+'Budget Detail'!E215</f>
        <v>874</v>
      </c>
      <c r="E29" s="805">
        <f>'Budget Detail'!G154+'Budget Detail'!G215</f>
        <v>14700</v>
      </c>
      <c r="F29" s="860">
        <f t="shared" si="5"/>
        <v>5.9455782312925171E-2</v>
      </c>
      <c r="G29" s="805">
        <f t="shared" si="6"/>
        <v>13826</v>
      </c>
      <c r="H29" s="791"/>
    </row>
    <row r="30" spans="2:8" ht="15.7">
      <c r="B30" s="803"/>
      <c r="C30" s="804" t="s">
        <v>988</v>
      </c>
      <c r="D30" s="829">
        <f>'Budget Detail'!E179+'Budget Detail'!E183</f>
        <v>0</v>
      </c>
      <c r="E30" s="805">
        <f>'Budget Detail'!G179+'Budget Detail'!G183</f>
        <v>8000</v>
      </c>
      <c r="F30" s="860">
        <f t="shared" si="5"/>
        <v>0</v>
      </c>
      <c r="G30" s="805">
        <f t="shared" si="6"/>
        <v>8000</v>
      </c>
      <c r="H30" s="791"/>
    </row>
    <row r="31" spans="2:8" ht="15.7">
      <c r="B31" s="803"/>
      <c r="C31" s="804" t="s">
        <v>992</v>
      </c>
      <c r="D31" s="829">
        <f>'Budget Detail'!E205</f>
        <v>729.13</v>
      </c>
      <c r="E31" s="805">
        <f>'Budget Detail'!G205</f>
        <v>5500</v>
      </c>
      <c r="F31" s="860">
        <f t="shared" si="5"/>
        <v>0.13256909090909091</v>
      </c>
      <c r="G31" s="805">
        <f t="shared" si="6"/>
        <v>4770.87</v>
      </c>
      <c r="H31" s="791"/>
    </row>
    <row r="32" spans="2:8" ht="15.7">
      <c r="B32" s="803"/>
      <c r="C32" s="804" t="s">
        <v>993</v>
      </c>
      <c r="D32" s="829">
        <f>'Budget Detail'!E208</f>
        <v>529.36</v>
      </c>
      <c r="E32" s="805">
        <f>'Budget Detail'!G208</f>
        <v>4000</v>
      </c>
      <c r="F32" s="860">
        <f t="shared" si="5"/>
        <v>0.13234000000000001</v>
      </c>
      <c r="G32" s="805">
        <f t="shared" si="6"/>
        <v>3470.64</v>
      </c>
      <c r="H32" s="791"/>
    </row>
    <row r="33" spans="2:9" ht="16" thickBot="1">
      <c r="B33" s="806"/>
      <c r="C33" s="807" t="s">
        <v>990</v>
      </c>
      <c r="D33" s="831">
        <f>'Budget Detail'!E195</f>
        <v>0</v>
      </c>
      <c r="E33" s="808">
        <f>'Budget Detail'!G195</f>
        <v>3000</v>
      </c>
      <c r="F33" s="861">
        <f t="shared" si="5"/>
        <v>0</v>
      </c>
      <c r="G33" s="808">
        <f t="shared" si="6"/>
        <v>3000</v>
      </c>
      <c r="H33" s="795"/>
    </row>
    <row r="34" spans="2:9" ht="16" thickBot="1">
      <c r="B34" s="826">
        <f>E34/$B$64</f>
        <v>3.6434055996356095E-2</v>
      </c>
      <c r="C34" s="807"/>
      <c r="D34" s="832">
        <f t="shared" ref="D34" si="7">SUM(D26:D33)</f>
        <v>13215.51</v>
      </c>
      <c r="E34" s="809">
        <f>SUM(E26:E33)</f>
        <v>107572</v>
      </c>
      <c r="F34" s="862">
        <f t="shared" si="5"/>
        <v>0.12285269400959357</v>
      </c>
      <c r="G34" s="809">
        <f t="shared" si="6"/>
        <v>94356.49</v>
      </c>
      <c r="H34" s="795"/>
    </row>
    <row r="35" spans="2:9" ht="15.7">
      <c r="B35" s="804"/>
      <c r="C35" s="804"/>
      <c r="D35" s="849"/>
      <c r="E35" s="804"/>
      <c r="F35" s="805"/>
      <c r="G35" s="805"/>
      <c r="H35" s="273"/>
    </row>
    <row r="36" spans="2:9" ht="21" thickBot="1">
      <c r="B36" s="813" t="s">
        <v>994</v>
      </c>
      <c r="C36" s="797"/>
      <c r="D36" s="849"/>
      <c r="E36" s="797"/>
      <c r="F36" s="805"/>
      <c r="G36" s="798"/>
    </row>
    <row r="37" spans="2:9" ht="15.7">
      <c r="B37" s="800"/>
      <c r="C37" s="801" t="s">
        <v>1021</v>
      </c>
      <c r="D37" s="830">
        <f>'Budget Detail'!E115</f>
        <v>12818.3</v>
      </c>
      <c r="E37" s="802">
        <f>'Budget Detail'!G115</f>
        <v>70000</v>
      </c>
      <c r="F37" s="859">
        <f t="shared" ref="F37:F47" si="8">D37/E37</f>
        <v>0.18311857142857141</v>
      </c>
      <c r="G37" s="802">
        <f t="shared" ref="G37:G47" si="9">E37-D37</f>
        <v>57181.7</v>
      </c>
      <c r="H37" s="789"/>
    </row>
    <row r="38" spans="2:9" ht="15.7">
      <c r="B38" s="803"/>
      <c r="C38" s="804" t="s">
        <v>1020</v>
      </c>
      <c r="D38" s="829">
        <f>'Budget Detail'!E114</f>
        <v>3255</v>
      </c>
      <c r="E38" s="805">
        <f>'Budget Detail'!G114</f>
        <v>26460</v>
      </c>
      <c r="F38" s="860">
        <f t="shared" si="8"/>
        <v>0.12301587301587301</v>
      </c>
      <c r="G38" s="805">
        <f t="shared" si="9"/>
        <v>23205</v>
      </c>
      <c r="H38" s="791"/>
    </row>
    <row r="39" spans="2:9" ht="15.7">
      <c r="B39" s="803"/>
      <c r="C39" s="804" t="s">
        <v>995</v>
      </c>
      <c r="D39" s="829">
        <f>'Budget Detail'!E113</f>
        <v>0</v>
      </c>
      <c r="E39" s="805">
        <f>'Budget Detail'!G113</f>
        <v>23000</v>
      </c>
      <c r="F39" s="860">
        <f t="shared" si="8"/>
        <v>0</v>
      </c>
      <c r="G39" s="805">
        <f t="shared" si="9"/>
        <v>23000</v>
      </c>
      <c r="H39" s="791"/>
    </row>
    <row r="40" spans="2:9" ht="15.7">
      <c r="B40" s="803"/>
      <c r="C40" s="804" t="s">
        <v>1026</v>
      </c>
      <c r="D40" s="829">
        <f>'Budget Detail'!E126</f>
        <v>5380</v>
      </c>
      <c r="E40" s="805">
        <f>'Budget Detail'!G126</f>
        <v>5380</v>
      </c>
      <c r="F40" s="860">
        <f t="shared" si="8"/>
        <v>1</v>
      </c>
      <c r="G40" s="805">
        <f t="shared" si="9"/>
        <v>0</v>
      </c>
      <c r="H40" s="791"/>
    </row>
    <row r="41" spans="2:9" ht="15.7">
      <c r="B41" s="803"/>
      <c r="C41" s="804" t="s">
        <v>996</v>
      </c>
      <c r="D41" s="829">
        <f>'Budget Detail'!E116</f>
        <v>0</v>
      </c>
      <c r="E41" s="805">
        <f>'Budget Detail'!G116</f>
        <v>10000</v>
      </c>
      <c r="F41" s="860">
        <f t="shared" si="8"/>
        <v>0</v>
      </c>
      <c r="G41" s="805">
        <f t="shared" si="9"/>
        <v>10000</v>
      </c>
      <c r="H41" s="791"/>
    </row>
    <row r="42" spans="2:9" ht="15.7">
      <c r="B42" s="803"/>
      <c r="C42" s="804" t="s">
        <v>1017</v>
      </c>
      <c r="D42" s="829">
        <f>'Budget Detail'!E119+'Budget Detail'!E120</f>
        <v>0</v>
      </c>
      <c r="E42" s="805">
        <f>'Budget Detail'!G119+'Budget Detail'!G120</f>
        <v>16500</v>
      </c>
      <c r="F42" s="860">
        <f t="shared" si="8"/>
        <v>0</v>
      </c>
      <c r="G42" s="805">
        <f t="shared" si="9"/>
        <v>16500</v>
      </c>
      <c r="H42" s="791"/>
    </row>
    <row r="43" spans="2:9" ht="15.7">
      <c r="B43" s="803"/>
      <c r="C43" s="804" t="s">
        <v>1000</v>
      </c>
      <c r="D43" s="829">
        <f>'Budget Detail'!E131</f>
        <v>833.37</v>
      </c>
      <c r="E43" s="805">
        <f>'Budget Detail'!G131</f>
        <v>8500</v>
      </c>
      <c r="F43" s="860">
        <f t="shared" si="8"/>
        <v>9.804352941176471E-2</v>
      </c>
      <c r="G43" s="805">
        <f t="shared" si="9"/>
        <v>7666.63</v>
      </c>
      <c r="H43" s="791"/>
    </row>
    <row r="44" spans="2:9" ht="15.7">
      <c r="B44" s="803"/>
      <c r="C44" s="804" t="s">
        <v>997</v>
      </c>
      <c r="D44" s="829">
        <f>'Budget Detail'!E123</f>
        <v>0</v>
      </c>
      <c r="E44" s="805">
        <f>'Budget Detail'!G123</f>
        <v>0</v>
      </c>
      <c r="F44" s="860" t="e">
        <f t="shared" si="8"/>
        <v>#DIV/0!</v>
      </c>
      <c r="G44" s="805">
        <f t="shared" si="9"/>
        <v>0</v>
      </c>
      <c r="H44" s="791"/>
    </row>
    <row r="45" spans="2:9" ht="15.7">
      <c r="B45" s="803"/>
      <c r="C45" s="804" t="s">
        <v>998</v>
      </c>
      <c r="D45" s="829">
        <f>'Budget Detail'!E124</f>
        <v>0</v>
      </c>
      <c r="E45" s="805">
        <f>'Budget Detail'!G124</f>
        <v>4500</v>
      </c>
      <c r="F45" s="860">
        <f t="shared" si="8"/>
        <v>0</v>
      </c>
      <c r="G45" s="805">
        <f t="shared" si="9"/>
        <v>4500</v>
      </c>
      <c r="H45" s="791"/>
    </row>
    <row r="46" spans="2:9" ht="16" thickBot="1">
      <c r="B46" s="806"/>
      <c r="C46" s="807" t="s">
        <v>999</v>
      </c>
      <c r="D46" s="831">
        <f>'Budget Detail'!E125</f>
        <v>0</v>
      </c>
      <c r="E46" s="808">
        <f>'Budget Detail'!G125</f>
        <v>2500</v>
      </c>
      <c r="F46" s="861">
        <f t="shared" si="8"/>
        <v>0</v>
      </c>
      <c r="G46" s="808">
        <f t="shared" si="9"/>
        <v>2500</v>
      </c>
      <c r="H46" s="795"/>
    </row>
    <row r="47" spans="2:9" ht="16" thickBot="1">
      <c r="B47" s="826">
        <f>E47/$B$64</f>
        <v>5.6507807816458283E-2</v>
      </c>
      <c r="C47" s="807"/>
      <c r="D47" s="832">
        <f t="shared" ref="D47" si="10">SUM(D37:D46)</f>
        <v>22286.67</v>
      </c>
      <c r="E47" s="809">
        <f>SUM(E37:E46)</f>
        <v>166840</v>
      </c>
      <c r="F47" s="862">
        <f t="shared" si="8"/>
        <v>0.13358109566051304</v>
      </c>
      <c r="G47" s="809">
        <f t="shared" si="9"/>
        <v>144553.33000000002</v>
      </c>
      <c r="H47" s="795"/>
    </row>
    <row r="48" spans="2:9">
      <c r="D48" s="848"/>
      <c r="F48" s="785"/>
      <c r="I48" s="812"/>
    </row>
    <row r="49" spans="2:9" ht="21" thickBot="1">
      <c r="B49" s="813" t="s">
        <v>1001</v>
      </c>
      <c r="D49" s="848"/>
      <c r="F49" s="785"/>
      <c r="I49" s="812"/>
    </row>
    <row r="50" spans="2:9">
      <c r="B50" s="786"/>
      <c r="C50" s="787" t="s">
        <v>1004</v>
      </c>
      <c r="D50" s="834">
        <f>'Budget Detail'!E239</f>
        <v>14875.97</v>
      </c>
      <c r="E50" s="788">
        <f>'Budget Detail'!G239</f>
        <v>134875.97</v>
      </c>
      <c r="F50" s="864">
        <f t="shared" ref="F50:F63" si="11">D50/E50</f>
        <v>0.11029370168755782</v>
      </c>
      <c r="G50" s="788">
        <f t="shared" ref="G50:G63" si="12">E50-D50</f>
        <v>120000</v>
      </c>
      <c r="H50" s="789"/>
    </row>
    <row r="51" spans="2:9">
      <c r="B51" s="790"/>
      <c r="C51" s="273" t="s">
        <v>1013</v>
      </c>
      <c r="D51" s="828">
        <f>'Budget Detail'!E252</f>
        <v>0</v>
      </c>
      <c r="E51" s="785">
        <f>'Budget Detail'!G252</f>
        <v>108000</v>
      </c>
      <c r="F51" s="863">
        <f t="shared" si="11"/>
        <v>0</v>
      </c>
      <c r="G51" s="785">
        <f t="shared" si="12"/>
        <v>108000</v>
      </c>
      <c r="H51" s="791"/>
    </row>
    <row r="52" spans="2:9">
      <c r="B52" s="790"/>
      <c r="C52" s="273" t="s">
        <v>1006</v>
      </c>
      <c r="D52" s="828">
        <f>'Budget Detail'!E241</f>
        <v>18219.150000000001</v>
      </c>
      <c r="E52" s="785">
        <f>'Budget Detail'!G241</f>
        <v>26219.15</v>
      </c>
      <c r="F52" s="863">
        <f t="shared" si="11"/>
        <v>0.69487950600992021</v>
      </c>
      <c r="G52" s="785">
        <f t="shared" si="12"/>
        <v>8000</v>
      </c>
      <c r="H52" s="791"/>
    </row>
    <row r="53" spans="2:9">
      <c r="B53" s="790"/>
      <c r="C53" s="273" t="s">
        <v>1008</v>
      </c>
      <c r="D53" s="828">
        <f>'Budget Detail'!E243</f>
        <v>2000</v>
      </c>
      <c r="E53" s="785">
        <f>'Budget Detail'!G243</f>
        <v>26000</v>
      </c>
      <c r="F53" s="863">
        <f t="shared" si="11"/>
        <v>7.6923076923076927E-2</v>
      </c>
      <c r="G53" s="785">
        <f t="shared" si="12"/>
        <v>24000</v>
      </c>
      <c r="H53" s="791"/>
    </row>
    <row r="54" spans="2:9">
      <c r="B54" s="790"/>
      <c r="C54" s="273" t="s">
        <v>1014</v>
      </c>
      <c r="D54" s="828">
        <f>'Budget Detail'!E253</f>
        <v>0</v>
      </c>
      <c r="E54" s="785">
        <f>'Budget Detail'!G253</f>
        <v>25000</v>
      </c>
      <c r="F54" s="863">
        <f t="shared" si="11"/>
        <v>0</v>
      </c>
      <c r="G54" s="785">
        <f t="shared" si="12"/>
        <v>25000</v>
      </c>
      <c r="H54" s="791"/>
    </row>
    <row r="55" spans="2:9">
      <c r="B55" s="790"/>
      <c r="C55" s="273" t="s">
        <v>1010</v>
      </c>
      <c r="D55" s="828">
        <f>'Budget Detail'!E247</f>
        <v>9310</v>
      </c>
      <c r="E55" s="785">
        <f>'Budget Detail'!G247</f>
        <v>20025</v>
      </c>
      <c r="F55" s="863">
        <f t="shared" si="11"/>
        <v>0.46491885143570538</v>
      </c>
      <c r="G55" s="785">
        <f t="shared" si="12"/>
        <v>10715</v>
      </c>
      <c r="H55" s="791"/>
    </row>
    <row r="56" spans="2:9">
      <c r="B56" s="790"/>
      <c r="C56" s="273" t="s">
        <v>1009</v>
      </c>
      <c r="D56" s="828">
        <f>'Budget Detail'!E244</f>
        <v>9245</v>
      </c>
      <c r="E56" s="785">
        <f>'Budget Detail'!G244</f>
        <v>17245</v>
      </c>
      <c r="F56" s="863">
        <f t="shared" si="11"/>
        <v>0.53609741954189616</v>
      </c>
      <c r="G56" s="785">
        <f t="shared" si="12"/>
        <v>8000</v>
      </c>
      <c r="H56" s="791"/>
    </row>
    <row r="57" spans="2:9">
      <c r="B57" s="790"/>
      <c r="C57" s="273" t="s">
        <v>1011</v>
      </c>
      <c r="D57" s="828">
        <f>'Budget Detail'!E248</f>
        <v>14660.5</v>
      </c>
      <c r="E57" s="785">
        <f>'Budget Detail'!G248</f>
        <v>13738</v>
      </c>
      <c r="F57" s="863">
        <f t="shared" si="11"/>
        <v>1.067149512301645</v>
      </c>
      <c r="G57" s="785">
        <f t="shared" si="12"/>
        <v>-922.5</v>
      </c>
      <c r="H57" s="791"/>
    </row>
    <row r="58" spans="2:9">
      <c r="B58" s="790"/>
      <c r="C58" s="273" t="s">
        <v>1005</v>
      </c>
      <c r="D58" s="828">
        <f>'Budget Detail'!E240</f>
        <v>6322.5</v>
      </c>
      <c r="E58" s="785">
        <f>'Budget Detail'!G240</f>
        <v>9522.5</v>
      </c>
      <c r="F58" s="863">
        <f t="shared" si="11"/>
        <v>0.66395379364662643</v>
      </c>
      <c r="G58" s="785">
        <f t="shared" si="12"/>
        <v>3200</v>
      </c>
      <c r="H58" s="791"/>
    </row>
    <row r="59" spans="2:9">
      <c r="B59" s="790"/>
      <c r="C59" s="273" t="s">
        <v>1003</v>
      </c>
      <c r="D59" s="828">
        <f>'Budget Detail'!E238</f>
        <v>5545</v>
      </c>
      <c r="E59" s="785">
        <f>'Budget Detail'!G238</f>
        <v>5545</v>
      </c>
      <c r="F59" s="863">
        <f t="shared" si="11"/>
        <v>1</v>
      </c>
      <c r="G59" s="785">
        <f t="shared" si="12"/>
        <v>0</v>
      </c>
      <c r="H59" s="791"/>
    </row>
    <row r="60" spans="2:9">
      <c r="B60" s="790"/>
      <c r="C60" s="273" t="s">
        <v>1012</v>
      </c>
      <c r="D60" s="828">
        <f>'Budget Detail'!E251</f>
        <v>3705</v>
      </c>
      <c r="E60" s="785">
        <f>'Budget Detail'!G251</f>
        <v>4000</v>
      </c>
      <c r="F60" s="863">
        <f t="shared" si="11"/>
        <v>0.92625000000000002</v>
      </c>
      <c r="G60" s="785">
        <f t="shared" si="12"/>
        <v>295</v>
      </c>
      <c r="H60" s="791"/>
    </row>
    <row r="61" spans="2:9">
      <c r="B61" s="790"/>
      <c r="C61" s="273" t="s">
        <v>1002</v>
      </c>
      <c r="D61" s="828">
        <f>'Budget Detail'!E237</f>
        <v>3083.5</v>
      </c>
      <c r="E61" s="785">
        <f>'Budget Detail'!G237</f>
        <v>3083.5</v>
      </c>
      <c r="F61" s="863">
        <f t="shared" si="11"/>
        <v>1</v>
      </c>
      <c r="G61" s="785">
        <f t="shared" si="12"/>
        <v>0</v>
      </c>
      <c r="H61" s="791"/>
    </row>
    <row r="62" spans="2:9" ht="14.7" thickBot="1">
      <c r="B62" s="792"/>
      <c r="C62" s="793" t="s">
        <v>1007</v>
      </c>
      <c r="D62" s="835">
        <f>'Budget Detail'!E242</f>
        <v>1987.5</v>
      </c>
      <c r="E62" s="794">
        <f>'Budget Detail'!G242</f>
        <v>1987.5</v>
      </c>
      <c r="F62" s="865">
        <f t="shared" si="11"/>
        <v>1</v>
      </c>
      <c r="G62" s="794">
        <f t="shared" si="12"/>
        <v>0</v>
      </c>
      <c r="H62" s="795"/>
    </row>
    <row r="63" spans="2:9" ht="16" thickBot="1">
      <c r="B63" s="826">
        <f>E63/$B$64</f>
        <v>0.13386620417181513</v>
      </c>
      <c r="C63" s="793"/>
      <c r="D63" s="836">
        <f>SUM(D50:D62)</f>
        <v>88954.12</v>
      </c>
      <c r="E63" s="796">
        <f>SUM(E50:E62)</f>
        <v>395241.62</v>
      </c>
      <c r="F63" s="866">
        <f t="shared" si="11"/>
        <v>0.22506263383901726</v>
      </c>
      <c r="G63" s="796">
        <f t="shared" si="12"/>
        <v>306287.5</v>
      </c>
      <c r="H63" s="795"/>
    </row>
    <row r="64" spans="2:9">
      <c r="B64" s="825">
        <f>E63+E47+E34+E23+E16</f>
        <v>2952512.3420449998</v>
      </c>
      <c r="D64" s="848"/>
      <c r="F64" s="785"/>
    </row>
    <row r="65" spans="3:7">
      <c r="D65" s="848"/>
      <c r="F65" s="785"/>
    </row>
    <row r="66" spans="3:7" ht="21" thickBot="1">
      <c r="C66" s="814" t="s">
        <v>467</v>
      </c>
      <c r="D66" s="837">
        <f>D4-D16-D23-D34-D47-D63</f>
        <v>26108.490000000093</v>
      </c>
      <c r="E66" s="815">
        <f>E4-E16-E23-E34-E47-E63</f>
        <v>73717.457955000224</v>
      </c>
      <c r="F66" s="867">
        <f>D66/E66</f>
        <v>0.35416970042479828</v>
      </c>
      <c r="G66" s="815">
        <f>E66-D66</f>
        <v>47608.967955000131</v>
      </c>
    </row>
    <row r="67" spans="3:7" ht="15" thickTop="1" thickBot="1">
      <c r="D67" s="850"/>
      <c r="F67" s="785"/>
    </row>
  </sheetData>
  <pageMargins left="0.7" right="0.7" top="0.75" bottom="0.75" header="0.3" footer="0.3"/>
  <pageSetup paperSize="5" scale="78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68B5F-A5FE-4405-8559-C5DFC286A045}">
  <sheetPr>
    <tabColor rgb="FFFFFF00"/>
    <pageSetUpPr fitToPage="1"/>
  </sheetPr>
  <dimension ref="A1:B151"/>
  <sheetViews>
    <sheetView workbookViewId="0">
      <selection activeCell="D24" sqref="D24"/>
    </sheetView>
  </sheetViews>
  <sheetFormatPr defaultColWidth="9.1171875" defaultRowHeight="14"/>
  <cols>
    <col min="1" max="1" width="63.8203125" style="709" customWidth="1"/>
    <col min="2" max="2" width="14.1171875" style="709" customWidth="1"/>
    <col min="3" max="3" width="16.8203125" style="709" customWidth="1"/>
    <col min="4" max="16384" width="9.1171875" style="709"/>
  </cols>
  <sheetData>
    <row r="1" spans="1:2" ht="20.350000000000001">
      <c r="A1" s="711" t="s">
        <v>505</v>
      </c>
      <c r="B1" s="708"/>
    </row>
    <row r="2" spans="1:2" ht="20.350000000000001">
      <c r="A2" s="711" t="s">
        <v>841</v>
      </c>
      <c r="B2" s="708"/>
    </row>
    <row r="3" spans="1:2" ht="20.350000000000001">
      <c r="A3" s="711" t="s">
        <v>940</v>
      </c>
      <c r="B3" s="710"/>
    </row>
    <row r="4" spans="1:2" s="712" customFormat="1" ht="15"/>
    <row r="5" spans="1:2" s="751" customFormat="1" ht="15">
      <c r="A5" s="750"/>
      <c r="B5" s="775" t="s">
        <v>0</v>
      </c>
    </row>
    <row r="6" spans="1:2" s="751" customFormat="1" ht="15">
      <c r="A6" s="756" t="s">
        <v>842</v>
      </c>
      <c r="B6" s="753"/>
    </row>
    <row r="7" spans="1:2" s="751" customFormat="1" ht="15">
      <c r="A7" s="756" t="s">
        <v>843</v>
      </c>
      <c r="B7" s="753"/>
    </row>
    <row r="8" spans="1:2" s="751" customFormat="1" ht="15" hidden="1">
      <c r="A8" s="756" t="s">
        <v>844</v>
      </c>
      <c r="B8" s="753"/>
    </row>
    <row r="9" spans="1:2" s="751" customFormat="1" ht="15" hidden="1">
      <c r="A9" s="756" t="s">
        <v>922</v>
      </c>
      <c r="B9" s="753"/>
    </row>
    <row r="10" spans="1:2" s="751" customFormat="1" ht="15">
      <c r="A10" s="756" t="s">
        <v>845</v>
      </c>
      <c r="B10" s="754">
        <f>411731.7</f>
        <v>411731.7</v>
      </c>
    </row>
    <row r="11" spans="1:2" s="751" customFormat="1" ht="15">
      <c r="A11" s="756" t="s">
        <v>846</v>
      </c>
      <c r="B11" s="754">
        <f>3380.32</f>
        <v>3380.32</v>
      </c>
    </row>
    <row r="12" spans="1:2" s="751" customFormat="1" ht="15">
      <c r="A12" s="756" t="s">
        <v>923</v>
      </c>
      <c r="B12" s="754">
        <f>1000.02</f>
        <v>1000.02</v>
      </c>
    </row>
    <row r="13" spans="1:2" s="751" customFormat="1" ht="15">
      <c r="A13" s="756" t="s">
        <v>924</v>
      </c>
      <c r="B13" s="754">
        <f>20000</f>
        <v>20000</v>
      </c>
    </row>
    <row r="14" spans="1:2" s="751" customFormat="1" ht="15">
      <c r="A14" s="756" t="s">
        <v>847</v>
      </c>
      <c r="B14" s="757">
        <f>((((B9)+(B10))+(B11))+(B12))+(B13)</f>
        <v>436112.04000000004</v>
      </c>
    </row>
    <row r="15" spans="1:2" s="751" customFormat="1" ht="15">
      <c r="A15" s="756" t="s">
        <v>848</v>
      </c>
      <c r="B15" s="754">
        <f>0</f>
        <v>0</v>
      </c>
    </row>
    <row r="16" spans="1:2" s="751" customFormat="1" ht="15">
      <c r="A16" s="756" t="s">
        <v>849</v>
      </c>
      <c r="B16" s="757">
        <f>(B14)+(B15)</f>
        <v>436112.04000000004</v>
      </c>
    </row>
    <row r="17" spans="1:2" s="751" customFormat="1" ht="15">
      <c r="A17" s="756" t="s">
        <v>925</v>
      </c>
      <c r="B17" s="753"/>
    </row>
    <row r="18" spans="1:2" s="751" customFormat="1" ht="15" hidden="1">
      <c r="A18" s="756" t="s">
        <v>850</v>
      </c>
      <c r="B18" s="754">
        <f>0</f>
        <v>0</v>
      </c>
    </row>
    <row r="19" spans="1:2" s="751" customFormat="1" ht="15">
      <c r="A19" s="756" t="s">
        <v>851</v>
      </c>
      <c r="B19" s="754">
        <f>53564.09</f>
        <v>53564.09</v>
      </c>
    </row>
    <row r="20" spans="1:2" s="751" customFormat="1" ht="15">
      <c r="A20" s="756" t="s">
        <v>926</v>
      </c>
      <c r="B20" s="753"/>
    </row>
    <row r="21" spans="1:2" s="751" customFormat="1" ht="15">
      <c r="A21" s="756" t="s">
        <v>852</v>
      </c>
      <c r="B21" s="754">
        <f>23495</f>
        <v>23495</v>
      </c>
    </row>
    <row r="22" spans="1:2" s="751" customFormat="1" ht="15">
      <c r="A22" s="756" t="s">
        <v>853</v>
      </c>
      <c r="B22" s="754">
        <f>33178.67</f>
        <v>33178.67</v>
      </c>
    </row>
    <row r="23" spans="1:2" s="751" customFormat="1" ht="15" hidden="1">
      <c r="A23" s="756" t="s">
        <v>854</v>
      </c>
      <c r="B23" s="754">
        <f>0</f>
        <v>0</v>
      </c>
    </row>
    <row r="24" spans="1:2" s="751" customFormat="1" ht="15">
      <c r="A24" s="756" t="s">
        <v>855</v>
      </c>
      <c r="B24" s="754">
        <f>93750</f>
        <v>93750</v>
      </c>
    </row>
    <row r="25" spans="1:2" s="751" customFormat="1" ht="15">
      <c r="A25" s="756" t="s">
        <v>856</v>
      </c>
      <c r="B25" s="757">
        <f>((((B20)+(B21))+(B22))+(B23))+(B24)</f>
        <v>150423.66999999998</v>
      </c>
    </row>
    <row r="26" spans="1:2" s="751" customFormat="1" ht="15">
      <c r="A26" s="756" t="s">
        <v>857</v>
      </c>
      <c r="B26" s="757">
        <f>((B18)+(B19))+(B25)</f>
        <v>203987.75999999998</v>
      </c>
    </row>
    <row r="27" spans="1:2" s="751" customFormat="1" ht="15">
      <c r="A27" s="756" t="s">
        <v>858</v>
      </c>
      <c r="B27" s="757">
        <f>(B16)+(B26)</f>
        <v>640099.80000000005</v>
      </c>
    </row>
    <row r="28" spans="1:2" s="751" customFormat="1" ht="15">
      <c r="A28" s="756" t="s">
        <v>859</v>
      </c>
      <c r="B28" s="753"/>
    </row>
    <row r="29" spans="1:2" s="751" customFormat="1" ht="15">
      <c r="A29" s="756" t="s">
        <v>927</v>
      </c>
      <c r="B29" s="753"/>
    </row>
    <row r="30" spans="1:2" s="751" customFormat="1" ht="15">
      <c r="A30" s="756" t="s">
        <v>928</v>
      </c>
      <c r="B30" s="754">
        <f>21082.5</f>
        <v>21082.5</v>
      </c>
    </row>
    <row r="31" spans="1:2" s="751" customFormat="1" ht="15">
      <c r="A31" s="756" t="s">
        <v>929</v>
      </c>
      <c r="B31" s="754">
        <f>13638.12</f>
        <v>13638.12</v>
      </c>
    </row>
    <row r="32" spans="1:2" s="751" customFormat="1" ht="15">
      <c r="A32" s="756" t="s">
        <v>930</v>
      </c>
      <c r="B32" s="757">
        <f>((B29)+(B30))+(B31)</f>
        <v>34720.620000000003</v>
      </c>
    </row>
    <row r="33" spans="1:2" s="751" customFormat="1" ht="15">
      <c r="A33" s="756" t="s">
        <v>931</v>
      </c>
      <c r="B33" s="753"/>
    </row>
    <row r="34" spans="1:2" s="751" customFormat="1" ht="15">
      <c r="A34" s="756" t="s">
        <v>480</v>
      </c>
      <c r="B34" s="754">
        <f>5545</f>
        <v>5545</v>
      </c>
    </row>
    <row r="35" spans="1:2" s="751" customFormat="1" ht="15">
      <c r="A35" s="756" t="s">
        <v>932</v>
      </c>
      <c r="B35" s="754">
        <f>25886.47</f>
        <v>25886.47</v>
      </c>
    </row>
    <row r="36" spans="1:2" s="751" customFormat="1" ht="15">
      <c r="A36" s="756" t="s">
        <v>933</v>
      </c>
      <c r="B36" s="757">
        <f>((B33)+(B34))+(B35)</f>
        <v>31431.47</v>
      </c>
    </row>
    <row r="37" spans="1:2" s="751" customFormat="1" ht="15">
      <c r="A37" s="756" t="s">
        <v>934</v>
      </c>
      <c r="B37" s="753"/>
    </row>
    <row r="38" spans="1:2" s="751" customFormat="1" ht="15">
      <c r="A38" s="756" t="s">
        <v>962</v>
      </c>
      <c r="B38" s="754">
        <f>6322.5</f>
        <v>6322.5</v>
      </c>
    </row>
    <row r="39" spans="1:2" s="751" customFormat="1" ht="15">
      <c r="A39" s="756" t="s">
        <v>860</v>
      </c>
      <c r="B39" s="754">
        <f>18219.15</f>
        <v>18219.150000000001</v>
      </c>
    </row>
    <row r="40" spans="1:2" s="751" customFormat="1" ht="15">
      <c r="A40" s="756" t="s">
        <v>944</v>
      </c>
      <c r="B40" s="754">
        <f>1987.5</f>
        <v>1987.5</v>
      </c>
    </row>
    <row r="41" spans="1:2" s="751" customFormat="1" ht="15">
      <c r="A41" s="756" t="s">
        <v>945</v>
      </c>
      <c r="B41" s="754">
        <f>2000</f>
        <v>2000</v>
      </c>
    </row>
    <row r="42" spans="1:2" s="751" customFormat="1" ht="15">
      <c r="A42" s="756" t="s">
        <v>946</v>
      </c>
      <c r="B42" s="754">
        <f>9245</f>
        <v>9245</v>
      </c>
    </row>
    <row r="43" spans="1:2" s="751" customFormat="1" ht="15">
      <c r="A43" s="756" t="s">
        <v>935</v>
      </c>
      <c r="B43" s="754">
        <f>9310</f>
        <v>9310</v>
      </c>
    </row>
    <row r="44" spans="1:2" s="751" customFormat="1" ht="15">
      <c r="A44" s="756" t="s">
        <v>861</v>
      </c>
      <c r="B44" s="754">
        <f>14660.5</f>
        <v>14660.5</v>
      </c>
    </row>
    <row r="45" spans="1:2" s="751" customFormat="1" ht="15">
      <c r="A45" s="756" t="s">
        <v>963</v>
      </c>
      <c r="B45" s="754">
        <f>3705</f>
        <v>3705</v>
      </c>
    </row>
    <row r="46" spans="1:2" s="751" customFormat="1" ht="15">
      <c r="A46" s="756" t="s">
        <v>936</v>
      </c>
      <c r="B46" s="757">
        <f>((((((((B37)+(B38))+(B39))+(B40))+(B41))+(B42))+(B43))+(B44))+(B45)</f>
        <v>65449.65</v>
      </c>
    </row>
    <row r="47" spans="1:2" s="751" customFormat="1" ht="15">
      <c r="A47" s="756" t="s">
        <v>862</v>
      </c>
      <c r="B47" s="757">
        <f>((B32)+(B36))+(B46)</f>
        <v>131601.74</v>
      </c>
    </row>
    <row r="48" spans="1:2" s="755" customFormat="1" ht="15.35" thickBot="1">
      <c r="A48" s="752" t="s">
        <v>863</v>
      </c>
      <c r="B48" s="758">
        <f>(B27)+(B47)</f>
        <v>771701.54</v>
      </c>
    </row>
    <row r="49" spans="1:2" s="751" customFormat="1" ht="15.35" thickTop="1">
      <c r="A49" s="756"/>
      <c r="B49" s="776"/>
    </row>
    <row r="50" spans="1:2" s="751" customFormat="1" ht="15">
      <c r="A50" s="752" t="s">
        <v>864</v>
      </c>
      <c r="B50" s="753"/>
    </row>
    <row r="51" spans="1:2" s="751" customFormat="1" ht="15">
      <c r="A51" s="756" t="s">
        <v>865</v>
      </c>
      <c r="B51" s="753"/>
    </row>
    <row r="52" spans="1:2" s="751" customFormat="1" ht="15">
      <c r="A52" s="756" t="s">
        <v>866</v>
      </c>
      <c r="B52" s="753"/>
    </row>
    <row r="53" spans="1:2" s="751" customFormat="1" ht="15">
      <c r="A53" s="756" t="s">
        <v>937</v>
      </c>
      <c r="B53" s="753"/>
    </row>
    <row r="54" spans="1:2" s="751" customFormat="1" ht="15">
      <c r="A54" s="756" t="s">
        <v>867</v>
      </c>
      <c r="B54" s="754">
        <f>-635</f>
        <v>-635</v>
      </c>
    </row>
    <row r="55" spans="1:2" s="751" customFormat="1" ht="15">
      <c r="A55" s="756" t="s">
        <v>868</v>
      </c>
      <c r="B55" s="757">
        <f>B54</f>
        <v>-635</v>
      </c>
    </row>
    <row r="56" spans="1:2" s="751" customFormat="1" ht="15">
      <c r="A56" s="756" t="s">
        <v>938</v>
      </c>
      <c r="B56" s="753"/>
    </row>
    <row r="57" spans="1:2" s="751" customFormat="1" ht="15">
      <c r="A57" s="756" t="s">
        <v>869</v>
      </c>
      <c r="B57" s="753"/>
    </row>
    <row r="58" spans="1:2" s="751" customFormat="1" ht="15">
      <c r="A58" s="756" t="s">
        <v>870</v>
      </c>
      <c r="B58" s="754">
        <f>6000</f>
        <v>6000</v>
      </c>
    </row>
    <row r="59" spans="1:2" s="751" customFormat="1" ht="15">
      <c r="A59" s="756" t="s">
        <v>871</v>
      </c>
      <c r="B59" s="757">
        <f>(B57)+(B58)</f>
        <v>6000</v>
      </c>
    </row>
    <row r="60" spans="1:2" s="751" customFormat="1" ht="15" hidden="1">
      <c r="A60" s="756" t="s">
        <v>872</v>
      </c>
      <c r="B60" s="754">
        <f>0</f>
        <v>0</v>
      </c>
    </row>
    <row r="61" spans="1:2" s="751" customFormat="1" ht="15">
      <c r="A61" s="756" t="s">
        <v>873</v>
      </c>
      <c r="B61" s="754">
        <f>216820.9</f>
        <v>216820.9</v>
      </c>
    </row>
    <row r="62" spans="1:2" s="751" customFormat="1" ht="15">
      <c r="A62" s="756" t="s">
        <v>874</v>
      </c>
      <c r="B62" s="754">
        <f>963.18</f>
        <v>963.18</v>
      </c>
    </row>
    <row r="63" spans="1:2" s="751" customFormat="1" ht="15">
      <c r="A63" s="756" t="s">
        <v>875</v>
      </c>
      <c r="B63" s="754">
        <f>328.57</f>
        <v>328.57</v>
      </c>
    </row>
    <row r="64" spans="1:2" s="751" customFormat="1" ht="15">
      <c r="A64" s="756" t="s">
        <v>876</v>
      </c>
      <c r="B64" s="757">
        <f>((((B59)+(B60))+(B61))+(B62))+(B63)</f>
        <v>224112.65</v>
      </c>
    </row>
    <row r="65" spans="1:2" s="751" customFormat="1" ht="15">
      <c r="A65" s="756" t="s">
        <v>877</v>
      </c>
      <c r="B65" s="757">
        <f>(B55)+(B64)</f>
        <v>223477.65</v>
      </c>
    </row>
    <row r="66" spans="1:2" s="751" customFormat="1" ht="15">
      <c r="A66" s="756" t="s">
        <v>939</v>
      </c>
      <c r="B66" s="753"/>
    </row>
    <row r="67" spans="1:2" s="751" customFormat="1" ht="15">
      <c r="A67" s="756" t="s">
        <v>878</v>
      </c>
      <c r="B67" s="754">
        <f>231484.56</f>
        <v>231484.56</v>
      </c>
    </row>
    <row r="68" spans="1:2" s="751" customFormat="1" ht="15">
      <c r="A68" s="756" t="s">
        <v>879</v>
      </c>
      <c r="B68" s="757">
        <f>B67</f>
        <v>231484.56</v>
      </c>
    </row>
    <row r="69" spans="1:2" s="751" customFormat="1" ht="15">
      <c r="A69" s="756" t="s">
        <v>880</v>
      </c>
      <c r="B69" s="757">
        <f>(B65)+(B68)</f>
        <v>454962.20999999996</v>
      </c>
    </row>
    <row r="70" spans="1:2" s="751" customFormat="1" ht="15">
      <c r="A70" s="756" t="s">
        <v>881</v>
      </c>
      <c r="B70" s="753"/>
    </row>
    <row r="71" spans="1:2" s="751" customFormat="1" ht="15">
      <c r="A71" s="756" t="s">
        <v>882</v>
      </c>
      <c r="B71" s="754">
        <f>413161.24</f>
        <v>413161.24</v>
      </c>
    </row>
    <row r="72" spans="1:2" s="751" customFormat="1" ht="15">
      <c r="A72" s="756" t="s">
        <v>883</v>
      </c>
      <c r="B72" s="754">
        <f>-96421.91</f>
        <v>-96421.91</v>
      </c>
    </row>
    <row r="73" spans="1:2" s="751" customFormat="1" ht="15">
      <c r="A73" s="756" t="s">
        <v>884</v>
      </c>
      <c r="B73" s="757">
        <f>(B71)+(B72)</f>
        <v>316739.32999999996</v>
      </c>
    </row>
    <row r="74" spans="1:2" s="755" customFormat="1" ht="15.35" thickBot="1">
      <c r="A74" s="752" t="s">
        <v>885</v>
      </c>
      <c r="B74" s="758">
        <f>(B69)+(B73)</f>
        <v>771701.53999999992</v>
      </c>
    </row>
    <row r="75" spans="1:2" s="712" customFormat="1" ht="15.35" thickTop="1"/>
    <row r="76" spans="1:2" s="712" customFormat="1" ht="15"/>
    <row r="77" spans="1:2" s="712" customFormat="1" ht="15"/>
    <row r="78" spans="1:2" s="712" customFormat="1" ht="15"/>
    <row r="79" spans="1:2" s="712" customFormat="1" ht="15"/>
    <row r="80" spans="1:2" s="712" customFormat="1" ht="15"/>
    <row r="81" s="712" customFormat="1" ht="15"/>
    <row r="82" s="712" customFormat="1" ht="15"/>
    <row r="83" s="712" customFormat="1" ht="15"/>
    <row r="84" s="712" customFormat="1" ht="15"/>
    <row r="85" s="712" customFormat="1" ht="15"/>
    <row r="86" s="712" customFormat="1" ht="15"/>
    <row r="87" s="712" customFormat="1" ht="15"/>
    <row r="88" s="712" customFormat="1" ht="15"/>
    <row r="89" s="712" customFormat="1" ht="15"/>
    <row r="90" s="712" customFormat="1" ht="15"/>
    <row r="91" s="712" customFormat="1" ht="15"/>
    <row r="92" s="712" customFormat="1" ht="15"/>
    <row r="93" s="712" customFormat="1" ht="15"/>
    <row r="94" s="712" customFormat="1" ht="15"/>
    <row r="95" s="712" customFormat="1" ht="15"/>
    <row r="96" s="712" customFormat="1" ht="15"/>
    <row r="97" s="712" customFormat="1" ht="15"/>
    <row r="98" s="712" customFormat="1" ht="15"/>
    <row r="99" s="712" customFormat="1" ht="15"/>
    <row r="100" s="712" customFormat="1" ht="15"/>
    <row r="101" s="712" customFormat="1" ht="15"/>
    <row r="102" s="712" customFormat="1" ht="15"/>
    <row r="103" s="712" customFormat="1" ht="15"/>
    <row r="104" s="712" customFormat="1" ht="15"/>
    <row r="105" s="712" customFormat="1" ht="15"/>
    <row r="106" s="712" customFormat="1" ht="15"/>
    <row r="107" s="712" customFormat="1" ht="15"/>
    <row r="108" s="712" customFormat="1" ht="15"/>
    <row r="109" s="712" customFormat="1" ht="15"/>
    <row r="110" s="712" customFormat="1" ht="15"/>
    <row r="111" s="712" customFormat="1" ht="15"/>
    <row r="112" s="712" customFormat="1" ht="15"/>
    <row r="113" s="712" customFormat="1" ht="15"/>
    <row r="114" s="712" customFormat="1" ht="15"/>
    <row r="115" s="712" customFormat="1" ht="15"/>
    <row r="116" s="712" customFormat="1" ht="15"/>
    <row r="117" s="712" customFormat="1" ht="15"/>
    <row r="118" s="712" customFormat="1" ht="15"/>
    <row r="119" s="712" customFormat="1" ht="15"/>
    <row r="120" s="712" customFormat="1" ht="15"/>
    <row r="121" s="712" customFormat="1" ht="15"/>
    <row r="122" s="712" customFormat="1" ht="15"/>
    <row r="123" s="712" customFormat="1" ht="15"/>
    <row r="124" s="712" customFormat="1" ht="15"/>
    <row r="125" s="712" customFormat="1" ht="15"/>
    <row r="126" s="712" customFormat="1" ht="15"/>
    <row r="127" s="712" customFormat="1" ht="15"/>
    <row r="128" s="712" customFormat="1" ht="15"/>
    <row r="129" s="712" customFormat="1" ht="15"/>
    <row r="130" s="712" customFormat="1" ht="15"/>
    <row r="131" s="712" customFormat="1" ht="15"/>
    <row r="132" s="712" customFormat="1" ht="15"/>
    <row r="133" s="712" customFormat="1" ht="15"/>
    <row r="134" s="712" customFormat="1" ht="15"/>
    <row r="135" s="712" customFormat="1" ht="15"/>
    <row r="136" s="712" customFormat="1" ht="15"/>
    <row r="137" s="712" customFormat="1" ht="15"/>
    <row r="138" s="712" customFormat="1" ht="15"/>
    <row r="139" s="712" customFormat="1" ht="15"/>
    <row r="140" s="712" customFormat="1" ht="15"/>
    <row r="141" s="712" customFormat="1" ht="15"/>
    <row r="142" s="712" customFormat="1" ht="15"/>
    <row r="143" s="712" customFormat="1" ht="15"/>
    <row r="144" s="712" customFormat="1" ht="15"/>
    <row r="145" s="712" customFormat="1" ht="15"/>
    <row r="146" s="712" customFormat="1" ht="15"/>
    <row r="147" s="712" customFormat="1" ht="15"/>
    <row r="148" s="712" customFormat="1" ht="15"/>
    <row r="149" s="712" customFormat="1" ht="15"/>
    <row r="150" s="712" customFormat="1" ht="15"/>
    <row r="151" s="712" customFormat="1" ht="15"/>
  </sheetData>
  <pageMargins left="0.7" right="0" top="0.5" bottom="0.5" header="0" footer="0"/>
  <pageSetup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21D99-7F58-604E-85C5-01C442A5E27D}">
  <dimension ref="A1"/>
  <sheetViews>
    <sheetView topLeftCell="A10" workbookViewId="0">
      <selection activeCell="H40" sqref="H40"/>
    </sheetView>
  </sheetViews>
  <sheetFormatPr defaultColWidth="10.64453125" defaultRowHeight="14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9C327-0F02-404B-94DC-420CE469ACEB}">
  <sheetPr>
    <pageSetUpPr fitToPage="1"/>
  </sheetPr>
  <dimension ref="A1:L65"/>
  <sheetViews>
    <sheetView topLeftCell="A4" zoomScale="92" zoomScaleNormal="92" workbookViewId="0">
      <selection activeCell="E50" sqref="E50"/>
    </sheetView>
  </sheetViews>
  <sheetFormatPr defaultColWidth="9.1171875" defaultRowHeight="14"/>
  <cols>
    <col min="1" max="1" width="19" style="525" customWidth="1"/>
    <col min="2" max="2" width="30.1171875" style="525" bestFit="1" customWidth="1"/>
    <col min="3" max="6" width="14" style="525" customWidth="1"/>
    <col min="7" max="7" width="3" style="526" bestFit="1" customWidth="1"/>
    <col min="8" max="9" width="14" style="525" customWidth="1"/>
    <col min="10" max="10" width="14" style="525" hidden="1" customWidth="1"/>
    <col min="11" max="11" width="74.64453125" style="525" bestFit="1" customWidth="1"/>
    <col min="12" max="12" width="28.64453125" style="525" bestFit="1" customWidth="1"/>
    <col min="13" max="16384" width="9.1171875" style="525"/>
  </cols>
  <sheetData>
    <row r="1" spans="1:10" ht="20.350000000000001">
      <c r="A1" s="527" t="s">
        <v>505</v>
      </c>
      <c r="B1" s="527"/>
    </row>
    <row r="2" spans="1:10" ht="20.350000000000001">
      <c r="A2" s="527" t="s">
        <v>720</v>
      </c>
      <c r="B2" s="527"/>
    </row>
    <row r="3" spans="1:10" ht="20.350000000000001">
      <c r="A3" s="527" t="s">
        <v>721</v>
      </c>
      <c r="B3" s="527"/>
    </row>
    <row r="5" spans="1:10" hidden="1">
      <c r="A5" s="575" t="s">
        <v>822</v>
      </c>
    </row>
    <row r="6" spans="1:10" hidden="1">
      <c r="A6" s="576" t="s">
        <v>462</v>
      </c>
    </row>
    <row r="7" spans="1:10" hidden="1">
      <c r="A7" s="576" t="s">
        <v>463</v>
      </c>
    </row>
    <row r="8" spans="1:10" hidden="1">
      <c r="A8" s="576" t="s">
        <v>479</v>
      </c>
    </row>
    <row r="9" spans="1:10" hidden="1">
      <c r="A9" s="576" t="s">
        <v>480</v>
      </c>
    </row>
    <row r="10" spans="1:10" hidden="1">
      <c r="A10" s="576" t="s">
        <v>464</v>
      </c>
    </row>
    <row r="11" spans="1:10" hidden="1">
      <c r="A11" s="576" t="s">
        <v>481</v>
      </c>
    </row>
    <row r="12" spans="1:10" hidden="1">
      <c r="A12" s="576" t="s">
        <v>482</v>
      </c>
    </row>
    <row r="13" spans="1:10" hidden="1">
      <c r="A13" s="577" t="s">
        <v>465</v>
      </c>
    </row>
    <row r="14" spans="1:10" hidden="1"/>
    <row r="15" spans="1:10">
      <c r="A15" s="526"/>
      <c r="B15" s="526"/>
      <c r="D15" s="628"/>
      <c r="E15" s="720" t="s">
        <v>775</v>
      </c>
      <c r="F15" s="743" t="s">
        <v>775</v>
      </c>
      <c r="G15" s="759"/>
      <c r="H15" s="530"/>
      <c r="I15" s="530"/>
      <c r="J15" s="530"/>
    </row>
    <row r="16" spans="1:10">
      <c r="A16" s="526"/>
      <c r="B16" s="526"/>
      <c r="C16" s="530" t="s">
        <v>800</v>
      </c>
      <c r="D16" s="629" t="s">
        <v>834</v>
      </c>
      <c r="E16" s="720" t="s">
        <v>724</v>
      </c>
      <c r="F16" s="743" t="s">
        <v>919</v>
      </c>
      <c r="G16" s="759"/>
      <c r="H16" s="530" t="s">
        <v>835</v>
      </c>
      <c r="I16" s="530"/>
      <c r="J16" s="530"/>
    </row>
    <row r="17" spans="1:12">
      <c r="A17" s="529" t="s">
        <v>723</v>
      </c>
      <c r="B17" s="529" t="s">
        <v>722</v>
      </c>
      <c r="C17" s="529" t="s">
        <v>735</v>
      </c>
      <c r="D17" s="630">
        <v>43738</v>
      </c>
      <c r="E17" s="721" t="s">
        <v>725</v>
      </c>
      <c r="F17" s="744" t="s">
        <v>784</v>
      </c>
      <c r="G17" s="760"/>
      <c r="H17" s="529" t="s">
        <v>836</v>
      </c>
      <c r="I17" s="638" t="s">
        <v>831</v>
      </c>
      <c r="J17" s="529" t="s">
        <v>717</v>
      </c>
      <c r="K17" s="529" t="s">
        <v>833</v>
      </c>
      <c r="L17" s="529" t="s">
        <v>734</v>
      </c>
    </row>
    <row r="18" spans="1:12">
      <c r="A18" s="528" t="s">
        <v>785</v>
      </c>
      <c r="C18" s="569"/>
      <c r="D18" s="631"/>
      <c r="E18" s="722"/>
      <c r="F18" s="745"/>
      <c r="G18" s="761"/>
      <c r="H18" s="569"/>
      <c r="I18" s="639"/>
      <c r="J18" s="569"/>
    </row>
    <row r="19" spans="1:12">
      <c r="B19" s="525" t="s">
        <v>798</v>
      </c>
      <c r="D19" s="628"/>
      <c r="E19" s="722"/>
      <c r="F19" s="745"/>
      <c r="G19" s="761"/>
      <c r="H19" s="569"/>
      <c r="I19" s="639"/>
      <c r="J19" s="569"/>
      <c r="K19" s="525" t="s">
        <v>730</v>
      </c>
    </row>
    <row r="20" spans="1:12">
      <c r="B20" s="525" t="s">
        <v>799</v>
      </c>
      <c r="C20" s="570">
        <v>10554.62</v>
      </c>
      <c r="D20" s="632">
        <v>3083.5</v>
      </c>
      <c r="E20" s="723">
        <v>19119</v>
      </c>
      <c r="F20" s="746">
        <f>D20</f>
        <v>3083.5</v>
      </c>
      <c r="G20" s="762" t="s">
        <v>950</v>
      </c>
      <c r="H20" s="626">
        <f>D20/F20</f>
        <v>1</v>
      </c>
      <c r="I20" s="640">
        <f>F20-D20</f>
        <v>0</v>
      </c>
      <c r="J20" s="578"/>
      <c r="K20" s="525" t="s">
        <v>726</v>
      </c>
      <c r="L20" s="525" t="s">
        <v>820</v>
      </c>
    </row>
    <row r="21" spans="1:12">
      <c r="C21" s="571">
        <f>SUM(C19:C20)</f>
        <v>10554.62</v>
      </c>
      <c r="D21" s="633">
        <f>SUM(D19:D20)</f>
        <v>3083.5</v>
      </c>
      <c r="E21" s="724">
        <f>SUM(E19:E20)</f>
        <v>19119</v>
      </c>
      <c r="F21" s="747">
        <f>SUM(F19:F20)</f>
        <v>3083.5</v>
      </c>
      <c r="G21" s="763"/>
      <c r="H21" s="627">
        <f>D21/E21</f>
        <v>0.16127935561483342</v>
      </c>
      <c r="I21" s="641">
        <f>SUM(I19:I20)</f>
        <v>0</v>
      </c>
      <c r="J21" s="571"/>
    </row>
    <row r="22" spans="1:12">
      <c r="A22" s="528" t="s">
        <v>786</v>
      </c>
      <c r="C22" s="569"/>
      <c r="D22" s="631"/>
      <c r="E22" s="722"/>
      <c r="F22" s="745"/>
      <c r="G22" s="761"/>
      <c r="H22" s="533"/>
      <c r="I22" s="639"/>
      <c r="J22" s="569"/>
    </row>
    <row r="23" spans="1:12">
      <c r="B23" s="525" t="s">
        <v>796</v>
      </c>
      <c r="C23" s="569"/>
      <c r="D23" s="631">
        <v>5545</v>
      </c>
      <c r="E23" s="722"/>
      <c r="F23" s="745">
        <f>+D23</f>
        <v>5545</v>
      </c>
      <c r="G23" s="761" t="s">
        <v>950</v>
      </c>
      <c r="H23" s="536">
        <f t="shared" ref="H23:H24" si="0">D23/F23</f>
        <v>1</v>
      </c>
      <c r="I23" s="639">
        <f t="shared" ref="I23:I24" si="1">F23-D23</f>
        <v>0</v>
      </c>
      <c r="J23" s="569"/>
      <c r="K23" s="525" t="s">
        <v>729</v>
      </c>
    </row>
    <row r="24" spans="1:12">
      <c r="B24" s="525" t="s">
        <v>797</v>
      </c>
      <c r="C24" s="570">
        <v>11010.5</v>
      </c>
      <c r="D24" s="632">
        <v>14875.97</v>
      </c>
      <c r="E24" s="723">
        <v>57142</v>
      </c>
      <c r="F24" s="746">
        <f>120000+D24</f>
        <v>134875.97</v>
      </c>
      <c r="G24" s="762" t="s">
        <v>950</v>
      </c>
      <c r="H24" s="626">
        <f t="shared" si="0"/>
        <v>0.11029370168755782</v>
      </c>
      <c r="I24" s="640">
        <f t="shared" si="1"/>
        <v>120000</v>
      </c>
      <c r="J24" s="578"/>
      <c r="K24" s="525" t="s">
        <v>957</v>
      </c>
      <c r="L24" s="525" t="s">
        <v>820</v>
      </c>
    </row>
    <row r="25" spans="1:12">
      <c r="C25" s="571">
        <f>SUM(C23:C24)</f>
        <v>11010.5</v>
      </c>
      <c r="D25" s="633">
        <f>SUM(D23:D24)</f>
        <v>20420.97</v>
      </c>
      <c r="E25" s="724">
        <f>SUM(E23:E24)</f>
        <v>57142</v>
      </c>
      <c r="F25" s="747">
        <f>SUM(F23:F24)</f>
        <v>140420.97</v>
      </c>
      <c r="G25" s="763"/>
      <c r="H25" s="636">
        <f>D25/E25</f>
        <v>0.35737233558503378</v>
      </c>
      <c r="I25" s="641">
        <f>SUM(I23:I24)</f>
        <v>120000</v>
      </c>
      <c r="J25" s="571"/>
    </row>
    <row r="26" spans="1:12">
      <c r="A26" s="528" t="s">
        <v>787</v>
      </c>
      <c r="C26" s="569"/>
      <c r="D26" s="631"/>
      <c r="E26" s="722"/>
      <c r="F26" s="745"/>
      <c r="G26" s="761"/>
      <c r="H26" s="533"/>
      <c r="I26" s="639"/>
      <c r="J26" s="569"/>
    </row>
    <row r="27" spans="1:12">
      <c r="B27" s="525" t="s">
        <v>788</v>
      </c>
      <c r="C27" s="569">
        <f>12220/2</f>
        <v>6110</v>
      </c>
      <c r="D27" s="631">
        <v>6322.5</v>
      </c>
      <c r="E27" s="722">
        <v>34950</v>
      </c>
      <c r="F27" s="745">
        <f>(20*160)+D27</f>
        <v>9522.5</v>
      </c>
      <c r="G27" s="761" t="s">
        <v>950</v>
      </c>
      <c r="H27" s="536">
        <f t="shared" ref="H27:H38" si="2">D27/F27</f>
        <v>0.66395379364662643</v>
      </c>
      <c r="I27" s="639">
        <f t="shared" ref="I27:I38" si="3">F27-D27</f>
        <v>3200</v>
      </c>
      <c r="J27" s="569"/>
      <c r="K27" s="525" t="s">
        <v>947</v>
      </c>
      <c r="L27" s="525" t="s">
        <v>819</v>
      </c>
    </row>
    <row r="28" spans="1:12">
      <c r="B28" s="525" t="s">
        <v>789</v>
      </c>
      <c r="C28" s="569"/>
      <c r="D28" s="631">
        <v>18219.150000000001</v>
      </c>
      <c r="E28" s="722">
        <v>21290</v>
      </c>
      <c r="F28" s="745">
        <f>8000+D28</f>
        <v>26219.15</v>
      </c>
      <c r="G28" s="761" t="s">
        <v>950</v>
      </c>
      <c r="H28" s="536">
        <f t="shared" si="2"/>
        <v>0.69487950600992021</v>
      </c>
      <c r="I28" s="639">
        <f t="shared" si="3"/>
        <v>8000</v>
      </c>
      <c r="J28" s="569"/>
      <c r="K28" s="525" t="s">
        <v>948</v>
      </c>
    </row>
    <row r="29" spans="1:12">
      <c r="B29" s="525" t="s">
        <v>790</v>
      </c>
      <c r="C29" s="569">
        <f>565/2</f>
        <v>282.5</v>
      </c>
      <c r="D29" s="631">
        <f>1987.5</f>
        <v>1987.5</v>
      </c>
      <c r="E29" s="722">
        <v>2000</v>
      </c>
      <c r="F29" s="745">
        <f>D29</f>
        <v>1987.5</v>
      </c>
      <c r="G29" s="761" t="s">
        <v>950</v>
      </c>
      <c r="H29" s="536">
        <f t="shared" si="2"/>
        <v>1</v>
      </c>
      <c r="I29" s="639">
        <f t="shared" si="3"/>
        <v>0</v>
      </c>
      <c r="J29" s="569"/>
      <c r="K29" s="525" t="s">
        <v>727</v>
      </c>
      <c r="L29" s="525" t="s">
        <v>819</v>
      </c>
    </row>
    <row r="30" spans="1:12">
      <c r="B30" s="525" t="s">
        <v>791</v>
      </c>
      <c r="C30" s="569">
        <f>7410/2</f>
        <v>3705</v>
      </c>
      <c r="D30" s="631">
        <v>2000</v>
      </c>
      <c r="E30" s="722">
        <v>10332</v>
      </c>
      <c r="F30" s="745">
        <f>24000+D30</f>
        <v>26000</v>
      </c>
      <c r="G30" s="761" t="s">
        <v>950</v>
      </c>
      <c r="H30" s="536">
        <f t="shared" si="2"/>
        <v>7.6923076923076927E-2</v>
      </c>
      <c r="I30" s="639">
        <f t="shared" si="3"/>
        <v>24000</v>
      </c>
      <c r="J30" s="569"/>
      <c r="K30" s="525" t="s">
        <v>949</v>
      </c>
      <c r="L30" s="525" t="s">
        <v>819</v>
      </c>
    </row>
    <row r="31" spans="1:12">
      <c r="B31" s="525" t="s">
        <v>792</v>
      </c>
      <c r="C31" s="569"/>
      <c r="D31" s="631">
        <v>9245</v>
      </c>
      <c r="E31" s="722">
        <v>9245</v>
      </c>
      <c r="F31" s="745">
        <f>8000+D31</f>
        <v>17245</v>
      </c>
      <c r="G31" s="761" t="s">
        <v>950</v>
      </c>
      <c r="H31" s="536">
        <f t="shared" si="2"/>
        <v>0.53609741954189616</v>
      </c>
      <c r="I31" s="639">
        <f t="shared" si="3"/>
        <v>8000</v>
      </c>
      <c r="J31" s="569"/>
      <c r="K31" s="525" t="s">
        <v>921</v>
      </c>
      <c r="L31" s="525" t="s">
        <v>819</v>
      </c>
    </row>
    <row r="32" spans="1:12">
      <c r="B32" s="525" t="s">
        <v>793</v>
      </c>
      <c r="C32" s="569"/>
      <c r="D32" s="631"/>
      <c r="E32" s="722"/>
      <c r="F32" s="745"/>
      <c r="G32" s="761"/>
      <c r="H32" s="536"/>
      <c r="I32" s="639"/>
      <c r="J32" s="569"/>
      <c r="K32" s="525" t="s">
        <v>731</v>
      </c>
    </row>
    <row r="33" spans="1:12">
      <c r="B33" s="525" t="s">
        <v>794</v>
      </c>
      <c r="C33" s="569"/>
      <c r="D33" s="631"/>
      <c r="E33" s="722"/>
      <c r="F33" s="745"/>
      <c r="G33" s="761"/>
      <c r="H33" s="536"/>
      <c r="I33" s="639"/>
      <c r="J33" s="569"/>
      <c r="K33" s="525" t="s">
        <v>728</v>
      </c>
    </row>
    <row r="34" spans="1:12">
      <c r="B34" s="525" t="s">
        <v>916</v>
      </c>
      <c r="C34" s="569">
        <f>270+(2270/2)+(19160/2)</f>
        <v>10985</v>
      </c>
      <c r="D34" s="631">
        <v>9310</v>
      </c>
      <c r="E34" s="722">
        <v>10715</v>
      </c>
      <c r="F34" s="745">
        <f>10715+D34</f>
        <v>20025</v>
      </c>
      <c r="G34" s="761" t="s">
        <v>950</v>
      </c>
      <c r="H34" s="536">
        <f t="shared" si="2"/>
        <v>0.46491885143570538</v>
      </c>
      <c r="I34" s="639">
        <f t="shared" si="3"/>
        <v>10715</v>
      </c>
      <c r="J34" s="569"/>
      <c r="K34" s="525" t="s">
        <v>732</v>
      </c>
      <c r="L34" s="525" t="s">
        <v>819</v>
      </c>
    </row>
    <row r="35" spans="1:12">
      <c r="B35" s="525" t="s">
        <v>795</v>
      </c>
      <c r="C35" s="578"/>
      <c r="D35" s="634">
        <f>14660.5</f>
        <v>14660.5</v>
      </c>
      <c r="E35" s="725">
        <v>13738</v>
      </c>
      <c r="F35" s="748">
        <v>13738</v>
      </c>
      <c r="G35" s="761" t="s">
        <v>950</v>
      </c>
      <c r="H35" s="536">
        <f t="shared" si="2"/>
        <v>1.067149512301645</v>
      </c>
      <c r="I35" s="642">
        <f t="shared" si="3"/>
        <v>-922.5</v>
      </c>
      <c r="J35" s="578"/>
      <c r="K35" s="525" t="s">
        <v>733</v>
      </c>
    </row>
    <row r="36" spans="1:12">
      <c r="B36" s="525" t="s">
        <v>917</v>
      </c>
      <c r="C36" s="578"/>
      <c r="D36" s="634"/>
      <c r="E36" s="725">
        <v>9676</v>
      </c>
      <c r="F36" s="748"/>
      <c r="G36" s="764"/>
      <c r="H36" s="536"/>
      <c r="I36" s="642"/>
      <c r="J36" s="578"/>
    </row>
    <row r="37" spans="1:12">
      <c r="B37" s="525" t="s">
        <v>824</v>
      </c>
      <c r="C37" s="578"/>
      <c r="D37" s="634"/>
      <c r="E37" s="725">
        <v>11000</v>
      </c>
      <c r="F37" s="748"/>
      <c r="G37" s="764"/>
      <c r="H37" s="536"/>
      <c r="I37" s="642"/>
      <c r="J37" s="578"/>
      <c r="K37" s="525" t="s">
        <v>918</v>
      </c>
    </row>
    <row r="38" spans="1:12">
      <c r="B38" s="525" t="s">
        <v>826</v>
      </c>
      <c r="C38" s="570"/>
      <c r="D38" s="632">
        <v>3705</v>
      </c>
      <c r="E38" s="723">
        <v>24000</v>
      </c>
      <c r="F38" s="746">
        <f>2000*2</f>
        <v>4000</v>
      </c>
      <c r="G38" s="762" t="s">
        <v>950</v>
      </c>
      <c r="H38" s="626">
        <f t="shared" si="2"/>
        <v>0.92625000000000002</v>
      </c>
      <c r="I38" s="640">
        <f t="shared" si="3"/>
        <v>295</v>
      </c>
      <c r="J38" s="578"/>
      <c r="K38" s="525" t="s">
        <v>951</v>
      </c>
    </row>
    <row r="39" spans="1:12">
      <c r="C39" s="571">
        <f>SUM(C27:C38)</f>
        <v>21082.5</v>
      </c>
      <c r="D39" s="633">
        <f>SUM(D27:D38)</f>
        <v>65449.65</v>
      </c>
      <c r="E39" s="724">
        <f>SUM(E27:E38)</f>
        <v>146946</v>
      </c>
      <c r="F39" s="747">
        <f>SUM(F27:F38)</f>
        <v>118737.15</v>
      </c>
      <c r="G39" s="763"/>
      <c r="H39" s="636">
        <f t="shared" ref="H39" si="4">D39/E39</f>
        <v>0.44539933036625701</v>
      </c>
      <c r="I39" s="641">
        <f>SUM(I27:I38)</f>
        <v>53287.5</v>
      </c>
      <c r="J39" s="571"/>
    </row>
    <row r="40" spans="1:12">
      <c r="A40" s="528" t="s">
        <v>808</v>
      </c>
      <c r="C40" s="569"/>
      <c r="D40" s="631"/>
      <c r="E40" s="722"/>
      <c r="F40" s="745"/>
      <c r="G40" s="761"/>
      <c r="H40" s="533"/>
      <c r="I40" s="639"/>
      <c r="J40" s="569"/>
    </row>
    <row r="41" spans="1:12">
      <c r="B41" s="525" t="s">
        <v>809</v>
      </c>
      <c r="C41" s="569"/>
      <c r="D41" s="631"/>
      <c r="E41" s="722"/>
      <c r="F41" s="745">
        <f>108000</f>
        <v>108000</v>
      </c>
      <c r="G41" s="761" t="s">
        <v>950</v>
      </c>
      <c r="H41" s="533">
        <f t="shared" ref="H41:H42" si="5">D41/F41</f>
        <v>0</v>
      </c>
      <c r="I41" s="639">
        <f t="shared" ref="I41:I42" si="6">F41-D41</f>
        <v>108000</v>
      </c>
      <c r="J41" s="569"/>
      <c r="K41" s="525" t="s">
        <v>953</v>
      </c>
      <c r="L41" s="525" t="s">
        <v>920</v>
      </c>
    </row>
    <row r="42" spans="1:12">
      <c r="B42" s="525" t="s">
        <v>810</v>
      </c>
      <c r="C42" s="570"/>
      <c r="D42" s="632"/>
      <c r="E42" s="723"/>
      <c r="F42" s="746">
        <f>25000</f>
        <v>25000</v>
      </c>
      <c r="G42" s="762" t="s">
        <v>950</v>
      </c>
      <c r="H42" s="626">
        <f t="shared" si="5"/>
        <v>0</v>
      </c>
      <c r="I42" s="640">
        <f t="shared" si="6"/>
        <v>25000</v>
      </c>
      <c r="J42" s="578"/>
      <c r="K42" s="525" t="s">
        <v>954</v>
      </c>
      <c r="L42" s="525" t="s">
        <v>821</v>
      </c>
    </row>
    <row r="43" spans="1:12">
      <c r="C43" s="571">
        <f>SUM(C41:C42)</f>
        <v>0</v>
      </c>
      <c r="D43" s="633">
        <f>SUM(D41:D42)</f>
        <v>0</v>
      </c>
      <c r="E43" s="724">
        <f>SUM(E41:E42)</f>
        <v>0</v>
      </c>
      <c r="F43" s="747">
        <f>SUM(F41:F42)</f>
        <v>133000</v>
      </c>
      <c r="G43" s="763"/>
      <c r="H43" s="636"/>
      <c r="I43" s="641">
        <f>SUM(I41:I42)</f>
        <v>133000</v>
      </c>
      <c r="J43" s="571"/>
    </row>
    <row r="44" spans="1:12">
      <c r="C44" s="570"/>
      <c r="D44" s="632"/>
      <c r="E44" s="723"/>
      <c r="F44" s="746"/>
      <c r="G44" s="762"/>
      <c r="H44" s="626"/>
      <c r="I44" s="640"/>
      <c r="J44" s="578"/>
    </row>
    <row r="45" spans="1:12">
      <c r="C45" s="569"/>
      <c r="D45" s="631"/>
      <c r="E45" s="722"/>
      <c r="F45" s="745"/>
      <c r="G45" s="761"/>
      <c r="H45" s="533"/>
      <c r="I45" s="639"/>
      <c r="J45" s="569"/>
    </row>
    <row r="46" spans="1:12" ht="14.35" thickBot="1">
      <c r="C46" s="572">
        <f>C21+C25+C39+C43</f>
        <v>42647.62</v>
      </c>
      <c r="D46" s="635">
        <f>D21+D25+D39+D43</f>
        <v>88954.12</v>
      </c>
      <c r="E46" s="726">
        <f>E21+E25+E39+E43</f>
        <v>223207</v>
      </c>
      <c r="F46" s="749">
        <f>F21+F25+F39+F43</f>
        <v>395241.62</v>
      </c>
      <c r="G46" s="765"/>
      <c r="H46" s="637">
        <f>D46/E46</f>
        <v>0.39852746553647511</v>
      </c>
      <c r="I46" s="643">
        <f>I21+I25+I39+I43</f>
        <v>306287.5</v>
      </c>
      <c r="J46" s="625"/>
    </row>
    <row r="47" spans="1:12" ht="14.35" thickTop="1">
      <c r="C47" s="569"/>
      <c r="D47" s="569"/>
      <c r="E47" s="569"/>
      <c r="F47" s="569"/>
      <c r="G47" s="761"/>
      <c r="H47" s="569"/>
      <c r="I47" s="569"/>
      <c r="J47" s="569"/>
    </row>
    <row r="48" spans="1:12">
      <c r="C48" s="569" t="s">
        <v>952</v>
      </c>
      <c r="D48" s="569"/>
      <c r="E48" s="569"/>
      <c r="F48" s="569"/>
      <c r="G48" s="761"/>
      <c r="H48" s="569"/>
      <c r="I48" s="569"/>
      <c r="J48" s="569"/>
    </row>
    <row r="49" spans="3:10">
      <c r="C49" s="569"/>
      <c r="D49" s="569"/>
      <c r="E49" s="569"/>
      <c r="F49" s="569"/>
      <c r="G49" s="761"/>
      <c r="H49" s="569"/>
      <c r="I49" s="569"/>
      <c r="J49" s="569"/>
    </row>
    <row r="50" spans="3:10">
      <c r="C50" s="569"/>
      <c r="D50" s="569"/>
      <c r="E50" s="569"/>
      <c r="F50" s="569"/>
      <c r="G50" s="761"/>
      <c r="H50" s="569"/>
      <c r="I50" s="569"/>
      <c r="J50" s="569"/>
    </row>
    <row r="51" spans="3:10">
      <c r="C51" s="569"/>
      <c r="D51" s="569"/>
      <c r="E51" s="569"/>
      <c r="F51" s="569"/>
      <c r="G51" s="761"/>
      <c r="H51" s="569"/>
      <c r="I51" s="569"/>
      <c r="J51" s="569"/>
    </row>
    <row r="52" spans="3:10">
      <c r="C52" s="569"/>
      <c r="D52" s="569"/>
      <c r="E52" s="569"/>
      <c r="F52" s="569"/>
      <c r="G52" s="761"/>
      <c r="H52" s="533"/>
      <c r="I52" s="569"/>
      <c r="J52" s="569"/>
    </row>
    <row r="53" spans="3:10">
      <c r="C53" s="569"/>
      <c r="D53" s="569"/>
      <c r="E53" s="569"/>
      <c r="F53" s="569"/>
      <c r="G53" s="761"/>
      <c r="H53" s="569"/>
      <c r="I53" s="569"/>
      <c r="J53" s="569"/>
    </row>
    <row r="54" spans="3:10">
      <c r="C54" s="569"/>
      <c r="D54" s="569"/>
      <c r="E54" s="569"/>
      <c r="F54" s="569"/>
      <c r="G54" s="761"/>
      <c r="H54" s="569"/>
      <c r="I54" s="569"/>
      <c r="J54" s="569"/>
    </row>
    <row r="55" spans="3:10">
      <c r="C55" s="569"/>
      <c r="D55" s="569"/>
      <c r="E55" s="569"/>
      <c r="F55" s="569"/>
      <c r="G55" s="761"/>
      <c r="H55" s="569"/>
      <c r="I55" s="569"/>
      <c r="J55" s="569"/>
    </row>
    <row r="56" spans="3:10">
      <c r="C56" s="569"/>
      <c r="D56" s="569"/>
      <c r="E56" s="569"/>
      <c r="F56" s="569"/>
      <c r="G56" s="761"/>
      <c r="H56" s="569"/>
      <c r="I56" s="569"/>
      <c r="J56" s="569"/>
    </row>
    <row r="57" spans="3:10">
      <c r="C57" s="569"/>
      <c r="D57" s="569"/>
      <c r="E57" s="569"/>
      <c r="F57" s="569"/>
      <c r="G57" s="761"/>
      <c r="H57" s="569"/>
      <c r="I57" s="569"/>
      <c r="J57" s="569"/>
    </row>
    <row r="58" spans="3:10">
      <c r="C58" s="569"/>
      <c r="D58" s="569"/>
      <c r="E58" s="569"/>
      <c r="F58" s="569"/>
      <c r="G58" s="761"/>
      <c r="H58" s="569"/>
      <c r="I58" s="569"/>
      <c r="J58" s="569"/>
    </row>
    <row r="59" spans="3:10">
      <c r="C59" s="569"/>
      <c r="D59" s="569"/>
      <c r="E59" s="569"/>
      <c r="F59" s="569"/>
      <c r="G59" s="761"/>
      <c r="H59" s="569"/>
      <c r="I59" s="569"/>
      <c r="J59" s="569"/>
    </row>
    <row r="60" spans="3:10">
      <c r="C60" s="569"/>
      <c r="D60" s="569"/>
      <c r="E60" s="569"/>
      <c r="F60" s="569"/>
      <c r="G60" s="761"/>
      <c r="H60" s="569"/>
      <c r="I60" s="569"/>
      <c r="J60" s="569"/>
    </row>
    <row r="61" spans="3:10">
      <c r="C61" s="569"/>
      <c r="D61" s="569"/>
      <c r="E61" s="569"/>
      <c r="F61" s="569"/>
      <c r="G61" s="761"/>
      <c r="H61" s="569"/>
      <c r="I61" s="569"/>
      <c r="J61" s="569"/>
    </row>
    <row r="62" spans="3:10">
      <c r="C62" s="569"/>
      <c r="D62" s="569"/>
      <c r="E62" s="569"/>
      <c r="F62" s="569"/>
      <c r="G62" s="761"/>
      <c r="H62" s="569"/>
      <c r="I62" s="569"/>
      <c r="J62" s="569"/>
    </row>
    <row r="63" spans="3:10">
      <c r="C63" s="569"/>
      <c r="D63" s="569"/>
      <c r="E63" s="569"/>
      <c r="F63" s="569"/>
      <c r="G63" s="761"/>
      <c r="H63" s="569"/>
      <c r="I63" s="569"/>
      <c r="J63" s="569"/>
    </row>
    <row r="64" spans="3:10">
      <c r="C64" s="569"/>
      <c r="D64" s="569"/>
      <c r="E64" s="569"/>
      <c r="F64" s="569"/>
      <c r="G64" s="761"/>
      <c r="H64" s="569"/>
      <c r="I64" s="569"/>
      <c r="J64" s="569"/>
    </row>
    <row r="65" spans="3:10">
      <c r="C65" s="569"/>
      <c r="D65" s="569"/>
      <c r="E65" s="569"/>
      <c r="F65" s="569"/>
      <c r="G65" s="761"/>
      <c r="H65" s="569"/>
      <c r="I65" s="569"/>
      <c r="J65" s="569"/>
    </row>
  </sheetData>
  <pageMargins left="0.2" right="0.2" top="0.5" bottom="0.5" header="0" footer="0"/>
  <pageSetup paperSize="5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4"/>
  <sheetViews>
    <sheetView zoomScaleNormal="100" workbookViewId="0">
      <selection activeCell="E31" sqref="E31"/>
    </sheetView>
  </sheetViews>
  <sheetFormatPr defaultColWidth="8.8203125" defaultRowHeight="14.35"/>
  <cols>
    <col min="3" max="3" width="13.1171875" bestFit="1" customWidth="1"/>
    <col min="4" max="5" width="13.46875" customWidth="1"/>
    <col min="6" max="6" width="16.46875" customWidth="1"/>
    <col min="7" max="7" width="13.8203125" customWidth="1"/>
    <col min="20" max="21" width="11.8203125" bestFit="1" customWidth="1"/>
  </cols>
  <sheetData>
    <row r="1" spans="1:21" ht="20.350000000000001">
      <c r="A1" s="527" t="s">
        <v>505</v>
      </c>
    </row>
    <row r="2" spans="1:21" ht="17.350000000000001">
      <c r="A2" s="707" t="s">
        <v>912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>
      <c r="B3" s="2"/>
      <c r="C3" s="2"/>
      <c r="D3" s="2"/>
      <c r="E3" s="2"/>
      <c r="F3" s="2"/>
      <c r="G3" s="2"/>
      <c r="H3" s="2"/>
      <c r="I3" s="2"/>
      <c r="J3" s="2"/>
      <c r="K3" s="2"/>
      <c r="L3" s="1" t="s">
        <v>155</v>
      </c>
      <c r="M3" s="2"/>
      <c r="N3" s="2"/>
      <c r="O3" s="2"/>
      <c r="P3" s="2"/>
      <c r="Q3" s="2"/>
    </row>
    <row r="4" spans="1:21">
      <c r="B4" s="1" t="s">
        <v>156</v>
      </c>
      <c r="C4" s="1" t="s">
        <v>132</v>
      </c>
      <c r="D4" s="1" t="s">
        <v>133</v>
      </c>
      <c r="E4" s="1" t="s">
        <v>134</v>
      </c>
      <c r="F4" s="1" t="s">
        <v>135</v>
      </c>
      <c r="G4" s="1" t="s">
        <v>136</v>
      </c>
      <c r="H4" s="2"/>
      <c r="I4" s="3" t="s">
        <v>157</v>
      </c>
      <c r="J4" s="4">
        <v>0.1</v>
      </c>
      <c r="K4" s="2"/>
      <c r="L4" s="1" t="s">
        <v>156</v>
      </c>
      <c r="M4" s="1" t="s">
        <v>132</v>
      </c>
      <c r="N4" s="1" t="s">
        <v>133</v>
      </c>
      <c r="O4" s="1" t="s">
        <v>134</v>
      </c>
      <c r="P4" s="1" t="s">
        <v>135</v>
      </c>
      <c r="Q4" s="1" t="s">
        <v>136</v>
      </c>
    </row>
    <row r="5" spans="1:21">
      <c r="B5" s="5" t="s">
        <v>158</v>
      </c>
      <c r="C5" s="609">
        <v>88</v>
      </c>
      <c r="D5" s="610">
        <v>60</v>
      </c>
      <c r="E5" s="610">
        <v>60</v>
      </c>
      <c r="F5" s="610">
        <v>60</v>
      </c>
      <c r="G5" s="610">
        <v>60</v>
      </c>
      <c r="H5" s="2"/>
      <c r="I5" s="6" t="s">
        <v>159</v>
      </c>
      <c r="J5" s="7">
        <v>0.5</v>
      </c>
      <c r="K5" s="2"/>
      <c r="L5" s="5" t="s">
        <v>158</v>
      </c>
      <c r="M5" s="611">
        <v>0</v>
      </c>
      <c r="N5" s="8">
        <f t="shared" ref="N5:Q10" si="0">D5*$J$4*$J$6</f>
        <v>1.7999999999999998</v>
      </c>
      <c r="O5" s="8">
        <f t="shared" si="0"/>
        <v>1.7999999999999998</v>
      </c>
      <c r="P5" s="8">
        <f t="shared" si="0"/>
        <v>1.7999999999999998</v>
      </c>
      <c r="Q5" s="8">
        <f t="shared" si="0"/>
        <v>1.7999999999999998</v>
      </c>
    </row>
    <row r="6" spans="1:21">
      <c r="B6" s="5">
        <v>1</v>
      </c>
      <c r="C6" s="609">
        <v>32</v>
      </c>
      <c r="D6" s="610">
        <v>88</v>
      </c>
      <c r="E6" s="610">
        <v>60</v>
      </c>
      <c r="F6" s="610">
        <v>60</v>
      </c>
      <c r="G6" s="610">
        <v>60</v>
      </c>
      <c r="H6" s="2"/>
      <c r="I6" s="6" t="s">
        <v>155</v>
      </c>
      <c r="J6" s="7">
        <v>0.3</v>
      </c>
      <c r="K6" s="2"/>
      <c r="L6" s="5">
        <v>1</v>
      </c>
      <c r="M6" s="611">
        <f>C6*$J$4*$J$6</f>
        <v>0.96</v>
      </c>
      <c r="N6" s="8">
        <f t="shared" si="0"/>
        <v>2.64</v>
      </c>
      <c r="O6" s="8">
        <f t="shared" si="0"/>
        <v>1.7999999999999998</v>
      </c>
      <c r="P6" s="8">
        <f t="shared" si="0"/>
        <v>1.7999999999999998</v>
      </c>
      <c r="Q6" s="8">
        <f t="shared" si="0"/>
        <v>1.7999999999999998</v>
      </c>
    </row>
    <row r="7" spans="1:21">
      <c r="B7" s="5">
        <v>2</v>
      </c>
      <c r="C7" s="609"/>
      <c r="D7" s="610">
        <v>32</v>
      </c>
      <c r="E7" s="610">
        <v>88</v>
      </c>
      <c r="F7" s="610">
        <v>60</v>
      </c>
      <c r="G7" s="610">
        <v>60</v>
      </c>
      <c r="H7" s="2"/>
      <c r="I7" s="6" t="s">
        <v>160</v>
      </c>
      <c r="J7" s="7">
        <v>0.2</v>
      </c>
      <c r="K7" s="2"/>
      <c r="L7" s="5">
        <v>2</v>
      </c>
      <c r="M7" s="611"/>
      <c r="N7" s="8">
        <f t="shared" si="0"/>
        <v>0.96</v>
      </c>
      <c r="O7" s="8">
        <f t="shared" si="0"/>
        <v>2.64</v>
      </c>
      <c r="P7" s="8">
        <f t="shared" si="0"/>
        <v>1.7999999999999998</v>
      </c>
      <c r="Q7" s="8">
        <f t="shared" si="0"/>
        <v>1.7999999999999998</v>
      </c>
      <c r="U7" s="524"/>
    </row>
    <row r="8" spans="1:21">
      <c r="B8" s="5">
        <v>3</v>
      </c>
      <c r="C8" s="609"/>
      <c r="D8" s="610"/>
      <c r="E8" s="610">
        <v>32</v>
      </c>
      <c r="F8" s="610">
        <v>88</v>
      </c>
      <c r="G8" s="610">
        <v>60</v>
      </c>
      <c r="H8" s="2"/>
      <c r="I8" s="9" t="s">
        <v>161</v>
      </c>
      <c r="J8" s="10">
        <f>SUM(J5:J7)</f>
        <v>1</v>
      </c>
      <c r="K8" s="2"/>
      <c r="L8" s="5">
        <v>3</v>
      </c>
      <c r="M8" s="611"/>
      <c r="N8" s="8"/>
      <c r="O8" s="8">
        <f t="shared" si="0"/>
        <v>0.96</v>
      </c>
      <c r="P8" s="8">
        <f t="shared" si="0"/>
        <v>2.64</v>
      </c>
      <c r="Q8" s="8">
        <f t="shared" si="0"/>
        <v>1.7999999999999998</v>
      </c>
    </row>
    <row r="9" spans="1:21">
      <c r="B9" s="5">
        <v>4</v>
      </c>
      <c r="C9" s="609"/>
      <c r="D9" s="610"/>
      <c r="E9" s="610"/>
      <c r="F9" s="610">
        <v>32</v>
      </c>
      <c r="G9" s="610">
        <v>88</v>
      </c>
      <c r="H9" s="2"/>
      <c r="I9" s="2"/>
      <c r="J9" s="2"/>
      <c r="K9" s="2"/>
      <c r="L9" s="5">
        <v>4</v>
      </c>
      <c r="M9" s="611"/>
      <c r="N9" s="8"/>
      <c r="O9" s="8"/>
      <c r="P9" s="8">
        <f t="shared" si="0"/>
        <v>0.96</v>
      </c>
      <c r="Q9" s="8">
        <f t="shared" si="0"/>
        <v>2.64</v>
      </c>
    </row>
    <row r="10" spans="1:21">
      <c r="B10" s="5">
        <v>5</v>
      </c>
      <c r="C10" s="609"/>
      <c r="D10" s="610"/>
      <c r="E10" s="610"/>
      <c r="F10" s="610"/>
      <c r="G10" s="610">
        <v>32</v>
      </c>
      <c r="H10" s="2"/>
      <c r="I10" s="2"/>
      <c r="J10" s="2"/>
      <c r="K10" s="2"/>
      <c r="L10" s="5">
        <v>5</v>
      </c>
      <c r="M10" s="611"/>
      <c r="N10" s="8"/>
      <c r="O10" s="8"/>
      <c r="P10" s="8"/>
      <c r="Q10" s="8">
        <f t="shared" si="0"/>
        <v>0.96</v>
      </c>
    </row>
    <row r="11" spans="1:21" s="231" customFormat="1">
      <c r="B11" s="612" t="s">
        <v>0</v>
      </c>
      <c r="C11" s="615">
        <f>SUM(C5:C10)</f>
        <v>120</v>
      </c>
      <c r="D11" s="616">
        <f t="shared" ref="D11:G11" si="1">SUM(D5:D10)</f>
        <v>180</v>
      </c>
      <c r="E11" s="616">
        <f t="shared" si="1"/>
        <v>240</v>
      </c>
      <c r="F11" s="616">
        <f t="shared" si="1"/>
        <v>300</v>
      </c>
      <c r="G11" s="616">
        <f t="shared" si="1"/>
        <v>360</v>
      </c>
      <c r="H11" s="617"/>
      <c r="I11" s="617"/>
      <c r="J11" s="617"/>
      <c r="K11" s="617"/>
      <c r="L11" s="612" t="s">
        <v>0</v>
      </c>
      <c r="M11" s="613">
        <f>ROUND(SUM(M5:M10),0)</f>
        <v>1</v>
      </c>
      <c r="N11" s="614">
        <f t="shared" ref="N11:Q11" si="2">SUM(N5:N10)</f>
        <v>5.3999999999999995</v>
      </c>
      <c r="O11" s="614">
        <f t="shared" si="2"/>
        <v>7.2</v>
      </c>
      <c r="P11" s="614">
        <f t="shared" si="2"/>
        <v>9</v>
      </c>
      <c r="Q11" s="614">
        <f t="shared" si="2"/>
        <v>10.8</v>
      </c>
      <c r="T11" s="618"/>
    </row>
    <row r="12" spans="1:21">
      <c r="B12" s="226" t="s">
        <v>478</v>
      </c>
      <c r="C12" s="227"/>
      <c r="D12" s="228">
        <f>(D11-C11)/C11</f>
        <v>0.5</v>
      </c>
      <c r="E12" s="228">
        <f t="shared" ref="E12:G12" si="3">(E11-D11)/D11</f>
        <v>0.33333333333333331</v>
      </c>
      <c r="F12" s="228">
        <f t="shared" si="3"/>
        <v>0.25</v>
      </c>
      <c r="G12" s="229">
        <f t="shared" si="3"/>
        <v>0.2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1">
      <c r="B13" s="11" t="s">
        <v>162</v>
      </c>
      <c r="C13" s="12">
        <f>'Budget Detail'!F9</f>
        <v>16154</v>
      </c>
      <c r="D13" s="12"/>
      <c r="E13" s="12"/>
      <c r="F13" s="12"/>
      <c r="G13" s="12"/>
      <c r="H13" s="2"/>
      <c r="I13" s="2"/>
      <c r="J13" s="2"/>
      <c r="K13" s="2"/>
      <c r="L13" s="1" t="s">
        <v>160</v>
      </c>
      <c r="M13" s="2"/>
      <c r="N13" s="2"/>
      <c r="O13" s="2"/>
      <c r="P13" s="2"/>
      <c r="Q13" s="2"/>
    </row>
    <row r="14" spans="1:21">
      <c r="B14" s="11" t="s">
        <v>0</v>
      </c>
      <c r="C14" s="12">
        <f>C11*C13</f>
        <v>1938480</v>
      </c>
      <c r="D14" s="12">
        <f t="shared" ref="D14:G14" si="4">D11*D13</f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2"/>
      <c r="I14" s="2"/>
      <c r="J14" s="2"/>
      <c r="K14" s="2"/>
      <c r="L14" s="1" t="s">
        <v>156</v>
      </c>
      <c r="M14" s="1" t="s">
        <v>132</v>
      </c>
      <c r="N14" s="1" t="s">
        <v>133</v>
      </c>
      <c r="O14" s="1" t="s">
        <v>134</v>
      </c>
      <c r="P14" s="1" t="s">
        <v>135</v>
      </c>
      <c r="Q14" s="1" t="s">
        <v>136</v>
      </c>
    </row>
    <row r="15" spans="1:21">
      <c r="B15" s="11"/>
      <c r="C15" s="11"/>
      <c r="D15" s="11"/>
      <c r="E15" s="11"/>
      <c r="F15" s="11"/>
      <c r="G15" s="11"/>
      <c r="H15" s="2"/>
      <c r="I15" s="2"/>
      <c r="J15" s="2"/>
      <c r="K15" s="2"/>
      <c r="L15" s="5" t="s">
        <v>158</v>
      </c>
      <c r="M15" s="611">
        <v>2</v>
      </c>
      <c r="N15" s="8">
        <f t="shared" ref="N15:Q20" si="5">D5*$J$4*$J$7</f>
        <v>1.2000000000000002</v>
      </c>
      <c r="O15" s="8">
        <f t="shared" si="5"/>
        <v>1.2000000000000002</v>
      </c>
      <c r="P15" s="8">
        <f t="shared" si="5"/>
        <v>1.2000000000000002</v>
      </c>
      <c r="Q15" s="8">
        <f t="shared" si="5"/>
        <v>1.2000000000000002</v>
      </c>
    </row>
    <row r="16" spans="1:21">
      <c r="B16" s="11" t="s">
        <v>163</v>
      </c>
      <c r="C16" s="13">
        <f>'Budget Detail'!F10</f>
        <v>10390</v>
      </c>
      <c r="D16" s="13">
        <f>C16</f>
        <v>10390</v>
      </c>
      <c r="E16" s="13">
        <f t="shared" ref="E16:G16" si="6">D16</f>
        <v>10390</v>
      </c>
      <c r="F16" s="13">
        <f t="shared" si="6"/>
        <v>10390</v>
      </c>
      <c r="G16" s="13">
        <f t="shared" si="6"/>
        <v>10390</v>
      </c>
      <c r="H16" s="2"/>
      <c r="I16" s="2"/>
      <c r="J16" s="2"/>
      <c r="K16" s="2"/>
      <c r="L16" s="5">
        <v>1</v>
      </c>
      <c r="M16" s="611">
        <v>8</v>
      </c>
      <c r="N16" s="8">
        <f t="shared" si="5"/>
        <v>1.7600000000000002</v>
      </c>
      <c r="O16" s="8">
        <f t="shared" si="5"/>
        <v>1.2000000000000002</v>
      </c>
      <c r="P16" s="8">
        <f t="shared" si="5"/>
        <v>1.2000000000000002</v>
      </c>
      <c r="Q16" s="8">
        <f t="shared" si="5"/>
        <v>1.2000000000000002</v>
      </c>
    </row>
    <row r="17" spans="2:21">
      <c r="B17" s="11" t="s">
        <v>0</v>
      </c>
      <c r="C17" s="13">
        <f>M11*C16</f>
        <v>10390</v>
      </c>
      <c r="D17" s="13">
        <f>N11*D16</f>
        <v>56105.999999999993</v>
      </c>
      <c r="E17" s="13">
        <f t="shared" ref="E17:G17" si="7">O11*E16</f>
        <v>74808</v>
      </c>
      <c r="F17" s="13">
        <f t="shared" si="7"/>
        <v>93510</v>
      </c>
      <c r="G17" s="13">
        <f t="shared" si="7"/>
        <v>112212.00000000001</v>
      </c>
      <c r="H17" s="2"/>
      <c r="I17" s="2"/>
      <c r="J17" s="2"/>
      <c r="K17" s="2"/>
      <c r="L17" s="5">
        <v>2</v>
      </c>
      <c r="M17" s="611"/>
      <c r="N17" s="8">
        <f t="shared" si="5"/>
        <v>0.64000000000000012</v>
      </c>
      <c r="O17" s="8">
        <f t="shared" si="5"/>
        <v>1.7600000000000002</v>
      </c>
      <c r="P17" s="8">
        <f t="shared" si="5"/>
        <v>1.2000000000000002</v>
      </c>
      <c r="Q17" s="8">
        <f t="shared" si="5"/>
        <v>1.2000000000000002</v>
      </c>
    </row>
    <row r="18" spans="2:21">
      <c r="B18" s="11"/>
      <c r="C18" s="11"/>
      <c r="D18" s="11"/>
      <c r="E18" s="11"/>
      <c r="F18" s="11"/>
      <c r="G18" s="11"/>
      <c r="H18" s="2"/>
      <c r="I18" s="2"/>
      <c r="J18" s="2"/>
      <c r="K18" s="2"/>
      <c r="L18" s="5">
        <v>3</v>
      </c>
      <c r="M18" s="611"/>
      <c r="N18" s="8"/>
      <c r="O18" s="8">
        <f t="shared" si="5"/>
        <v>0.64000000000000012</v>
      </c>
      <c r="P18" s="8">
        <f t="shared" si="5"/>
        <v>1.7600000000000002</v>
      </c>
      <c r="Q18" s="8">
        <f t="shared" si="5"/>
        <v>1.2000000000000002</v>
      </c>
    </row>
    <row r="19" spans="2:21">
      <c r="B19" s="11" t="s">
        <v>164</v>
      </c>
      <c r="C19" s="12">
        <f>'Budget Detail'!F11</f>
        <v>19049</v>
      </c>
      <c r="D19" s="12">
        <f>C19</f>
        <v>19049</v>
      </c>
      <c r="E19" s="12">
        <f t="shared" ref="E19:G19" si="8">D19</f>
        <v>19049</v>
      </c>
      <c r="F19" s="12">
        <f t="shared" si="8"/>
        <v>19049</v>
      </c>
      <c r="G19" s="12">
        <f t="shared" si="8"/>
        <v>19049</v>
      </c>
      <c r="H19" s="2"/>
      <c r="I19" s="2"/>
      <c r="J19" s="2"/>
      <c r="K19" s="2"/>
      <c r="L19" s="5">
        <v>4</v>
      </c>
      <c r="M19" s="611"/>
      <c r="N19" s="8"/>
      <c r="O19" s="8"/>
      <c r="P19" s="8">
        <f t="shared" si="5"/>
        <v>0.64000000000000012</v>
      </c>
      <c r="Q19" s="8">
        <f t="shared" si="5"/>
        <v>1.7600000000000002</v>
      </c>
    </row>
    <row r="20" spans="2:21">
      <c r="B20" s="11" t="s">
        <v>0</v>
      </c>
      <c r="C20" s="13">
        <f>M21*C19</f>
        <v>190490</v>
      </c>
      <c r="D20" s="13">
        <f t="shared" ref="D20:G20" si="9">N21*D19</f>
        <v>68576.400000000009</v>
      </c>
      <c r="E20" s="13">
        <f t="shared" si="9"/>
        <v>91435.200000000012</v>
      </c>
      <c r="F20" s="13">
        <f t="shared" si="9"/>
        <v>114294.00000000003</v>
      </c>
      <c r="G20" s="13">
        <f t="shared" si="9"/>
        <v>137152.80000000002</v>
      </c>
      <c r="H20" s="2"/>
      <c r="I20" s="2"/>
      <c r="J20" s="2"/>
      <c r="K20" s="2"/>
      <c r="L20" s="5">
        <v>5</v>
      </c>
      <c r="M20" s="611"/>
      <c r="N20" s="8"/>
      <c r="O20" s="8"/>
      <c r="P20" s="8"/>
      <c r="Q20" s="8">
        <f t="shared" si="5"/>
        <v>0.64000000000000012</v>
      </c>
    </row>
    <row r="21" spans="2:21">
      <c r="B21" s="11"/>
      <c r="C21" s="11"/>
      <c r="D21" s="11"/>
      <c r="E21" s="11"/>
      <c r="F21" s="11"/>
      <c r="G21" s="11"/>
      <c r="H21" s="2"/>
      <c r="I21" s="2"/>
      <c r="J21" s="2"/>
      <c r="K21" s="2"/>
      <c r="L21" s="612" t="s">
        <v>0</v>
      </c>
      <c r="M21" s="613">
        <f>ROUND(SUM(M15:M20),0)</f>
        <v>10</v>
      </c>
      <c r="N21" s="614">
        <f t="shared" ref="N21:Q21" si="10">SUM(N15:N20)</f>
        <v>3.6000000000000005</v>
      </c>
      <c r="O21" s="614">
        <f t="shared" si="10"/>
        <v>4.8000000000000007</v>
      </c>
      <c r="P21" s="614">
        <f t="shared" si="10"/>
        <v>6.0000000000000018</v>
      </c>
      <c r="Q21" s="614">
        <f t="shared" si="10"/>
        <v>7.2000000000000011</v>
      </c>
      <c r="T21" s="524"/>
      <c r="U21" s="524"/>
    </row>
    <row r="22" spans="2:21" hidden="1">
      <c r="B22" s="14" t="s">
        <v>165</v>
      </c>
      <c r="C22" s="15">
        <f>C14-'Budget Detail'!F18</f>
        <v>226156</v>
      </c>
      <c r="D22" s="15"/>
      <c r="E22" s="15"/>
      <c r="F22" s="15"/>
      <c r="G22" s="15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21" hidden="1">
      <c r="B23" s="14" t="s">
        <v>166</v>
      </c>
      <c r="C23" s="15">
        <f>(C17+C20)-'Budget Detail'!F19</f>
        <v>0</v>
      </c>
      <c r="D23" s="15"/>
      <c r="E23" s="15"/>
      <c r="F23" s="15"/>
      <c r="G23" s="15"/>
      <c r="H23" s="2"/>
      <c r="I23" s="2"/>
      <c r="J23" s="2"/>
      <c r="K23" s="2"/>
      <c r="L23" s="2"/>
      <c r="M23" s="2"/>
      <c r="N23" s="2"/>
      <c r="O23" s="2"/>
      <c r="P23" s="2"/>
      <c r="Q23" s="2"/>
      <c r="T23" s="524"/>
      <c r="U23" s="524"/>
    </row>
    <row r="24" spans="2:2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pageMargins left="0.45" right="0.45" top="0.5" bottom="0.5" header="0" footer="0"/>
  <pageSetup paperSize="5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8"/>
  <sheetViews>
    <sheetView zoomScale="121" zoomScaleNormal="121" workbookViewId="0">
      <pane xSplit="4" ySplit="5" topLeftCell="E17" activePane="bottomRight" state="frozen"/>
      <selection pane="topRight" activeCell="E1" sqref="E1"/>
      <selection pane="bottomLeft" activeCell="A4" sqref="A4"/>
      <selection pane="bottomRight" activeCell="A34" sqref="A34"/>
    </sheetView>
  </sheetViews>
  <sheetFormatPr defaultColWidth="8.8203125" defaultRowHeight="11.35"/>
  <cols>
    <col min="1" max="1" width="40.46875" style="445" bestFit="1" customWidth="1"/>
    <col min="2" max="2" width="32.3515625" style="445" bestFit="1" customWidth="1"/>
    <col min="3" max="3" width="10.46875" style="445" bestFit="1" customWidth="1"/>
    <col min="4" max="4" width="10.8203125" style="445" customWidth="1"/>
    <col min="5" max="5" width="14.46875" style="445" hidden="1" customWidth="1"/>
    <col min="6" max="6" width="13.8203125" style="445" customWidth="1"/>
    <col min="7" max="7" width="12.1171875" style="445" hidden="1" customWidth="1"/>
    <col min="8" max="8" width="12.1171875" style="445" customWidth="1"/>
    <col min="9" max="9" width="11.46875" style="445" customWidth="1"/>
    <col min="10" max="10" width="12.1171875" style="445" customWidth="1"/>
    <col min="11" max="11" width="14.1171875" style="445" customWidth="1"/>
    <col min="12" max="12" width="12.1171875" style="445" customWidth="1"/>
    <col min="13" max="13" width="13.1171875" style="445" hidden="1" customWidth="1"/>
    <col min="14" max="14" width="13.8203125" style="445" hidden="1" customWidth="1"/>
    <col min="15" max="15" width="12.46875" style="445" hidden="1" customWidth="1"/>
    <col min="16" max="16" width="13.46875" style="445" hidden="1" customWidth="1"/>
    <col min="17" max="17" width="8.8203125" style="445" hidden="1" customWidth="1"/>
    <col min="18" max="18" width="9.46875" style="445" hidden="1" customWidth="1"/>
    <col min="19" max="19" width="2.3515625" style="445" hidden="1" customWidth="1"/>
    <col min="20" max="20" width="16.46875" style="445" hidden="1" customWidth="1"/>
    <col min="21" max="21" width="12.64453125" style="445" bestFit="1" customWidth="1"/>
    <col min="22" max="16384" width="8.8203125" style="445"/>
  </cols>
  <sheetData>
    <row r="1" spans="1:21" ht="20.350000000000001">
      <c r="A1" s="527" t="s">
        <v>505</v>
      </c>
    </row>
    <row r="2" spans="1:21" ht="17.350000000000001">
      <c r="A2" s="707" t="s">
        <v>911</v>
      </c>
    </row>
    <row r="3" spans="1:21" ht="34">
      <c r="L3" s="520" t="s">
        <v>719</v>
      </c>
      <c r="T3" s="446" t="s">
        <v>697</v>
      </c>
    </row>
    <row r="4" spans="1:21">
      <c r="J4" s="879" t="s">
        <v>376</v>
      </c>
      <c r="K4" s="879"/>
      <c r="L4" s="521">
        <v>0.03</v>
      </c>
      <c r="M4" s="448">
        <v>0.03</v>
      </c>
      <c r="N4" s="448">
        <v>0.03</v>
      </c>
      <c r="O4" s="448">
        <v>0.03</v>
      </c>
      <c r="P4" s="448">
        <v>0.03</v>
      </c>
      <c r="T4" s="447">
        <v>0.03</v>
      </c>
      <c r="U4" s="521" t="s">
        <v>142</v>
      </c>
    </row>
    <row r="5" spans="1:21">
      <c r="A5" s="449" t="s">
        <v>172</v>
      </c>
      <c r="B5" s="449" t="s">
        <v>717</v>
      </c>
      <c r="C5" s="449" t="s">
        <v>173</v>
      </c>
      <c r="D5" s="449" t="s">
        <v>174</v>
      </c>
      <c r="E5" s="449" t="s">
        <v>175</v>
      </c>
      <c r="F5" s="449" t="s">
        <v>494</v>
      </c>
      <c r="G5" s="449" t="s">
        <v>131</v>
      </c>
      <c r="H5" s="449" t="s">
        <v>175</v>
      </c>
      <c r="I5" s="449" t="s">
        <v>176</v>
      </c>
      <c r="J5" s="449" t="s">
        <v>350</v>
      </c>
      <c r="K5" s="449" t="s">
        <v>377</v>
      </c>
      <c r="L5" s="449" t="s">
        <v>132</v>
      </c>
      <c r="M5" s="449" t="s">
        <v>133</v>
      </c>
      <c r="N5" s="449" t="s">
        <v>134</v>
      </c>
      <c r="O5" s="449" t="s">
        <v>477</v>
      </c>
      <c r="P5" s="449" t="s">
        <v>136</v>
      </c>
      <c r="T5" s="449" t="s">
        <v>132</v>
      </c>
      <c r="U5" s="449" t="s">
        <v>132</v>
      </c>
    </row>
    <row r="6" spans="1:21">
      <c r="A6" s="450" t="s">
        <v>399</v>
      </c>
      <c r="B6" s="504"/>
      <c r="C6" s="470" t="s">
        <v>627</v>
      </c>
      <c r="D6" s="445" t="s">
        <v>628</v>
      </c>
      <c r="E6" s="451">
        <v>130000</v>
      </c>
      <c r="F6" s="451"/>
      <c r="G6" s="451">
        <f>(E6/24)*21</f>
        <v>113750</v>
      </c>
      <c r="H6" s="452">
        <v>130000</v>
      </c>
      <c r="I6" s="451">
        <v>1</v>
      </c>
      <c r="J6" s="451"/>
      <c r="K6" s="451">
        <v>1</v>
      </c>
      <c r="L6" s="455">
        <f>H6*(1+L$4)</f>
        <v>133900</v>
      </c>
      <c r="M6" s="451">
        <f>L6*(1+M$4)</f>
        <v>137917</v>
      </c>
      <c r="N6" s="451">
        <f t="shared" ref="N6:P6" si="0">M6*(1+N$4)</f>
        <v>142054.51</v>
      </c>
      <c r="O6" s="451">
        <f t="shared" si="0"/>
        <v>146316.1453</v>
      </c>
      <c r="P6" s="451">
        <f t="shared" si="0"/>
        <v>150705.629659</v>
      </c>
      <c r="T6" s="451">
        <f>L6</f>
        <v>133900</v>
      </c>
      <c r="U6" s="445">
        <v>1</v>
      </c>
    </row>
    <row r="7" spans="1:21" hidden="1">
      <c r="A7" s="450" t="s">
        <v>400</v>
      </c>
      <c r="B7" s="504"/>
      <c r="C7" s="470"/>
      <c r="E7" s="451">
        <v>80000</v>
      </c>
      <c r="F7" s="451"/>
      <c r="G7" s="454"/>
      <c r="H7" s="455"/>
      <c r="I7" s="451"/>
      <c r="J7" s="451"/>
      <c r="K7" s="451"/>
      <c r="L7" s="455"/>
      <c r="M7" s="451">
        <f>L7*(1+M$4)</f>
        <v>0</v>
      </c>
      <c r="N7" s="451">
        <f>M7*(1+N$4)</f>
        <v>0</v>
      </c>
      <c r="O7" s="451">
        <f t="shared" ref="O7:P7" si="1">N7*(1+O$4)</f>
        <v>0</v>
      </c>
      <c r="P7" s="451">
        <f t="shared" si="1"/>
        <v>0</v>
      </c>
      <c r="Q7" s="450"/>
      <c r="T7" s="451">
        <f>L7</f>
        <v>0</v>
      </c>
    </row>
    <row r="8" spans="1:21" hidden="1">
      <c r="A8" s="450" t="s">
        <v>537</v>
      </c>
      <c r="B8" s="504"/>
      <c r="C8" s="470"/>
      <c r="E8" s="451"/>
      <c r="F8" s="451"/>
      <c r="H8" s="456"/>
      <c r="I8" s="451"/>
      <c r="J8" s="451"/>
      <c r="K8" s="451"/>
      <c r="L8" s="455"/>
      <c r="M8" s="451">
        <f>L8*(1+M$4)</f>
        <v>0</v>
      </c>
      <c r="N8" s="451">
        <f t="shared" ref="N8:P8" si="2">M8*(1+N$4)</f>
        <v>0</v>
      </c>
      <c r="O8" s="451">
        <f t="shared" si="2"/>
        <v>0</v>
      </c>
      <c r="P8" s="451">
        <f t="shared" si="2"/>
        <v>0</v>
      </c>
      <c r="Q8" s="450"/>
      <c r="T8" s="451">
        <f>L8</f>
        <v>0</v>
      </c>
    </row>
    <row r="9" spans="1:21">
      <c r="A9" s="450" t="s">
        <v>401</v>
      </c>
      <c r="B9" s="504"/>
      <c r="C9" s="470" t="s">
        <v>626</v>
      </c>
      <c r="D9" s="445" t="s">
        <v>625</v>
      </c>
      <c r="E9" s="451">
        <v>80000</v>
      </c>
      <c r="F9" s="451"/>
      <c r="G9" s="454"/>
      <c r="H9" s="455">
        <v>80000</v>
      </c>
      <c r="I9" s="451">
        <v>1</v>
      </c>
      <c r="J9" s="451"/>
      <c r="K9" s="451">
        <v>1</v>
      </c>
      <c r="L9" s="455">
        <f>H9*I9</f>
        <v>80000</v>
      </c>
      <c r="M9" s="451">
        <f>L9*(1+M$4)</f>
        <v>82400</v>
      </c>
      <c r="N9" s="451">
        <f t="shared" ref="N9:P9" si="3">M9*(1+N$4)</f>
        <v>84872</v>
      </c>
      <c r="O9" s="451">
        <f t="shared" si="3"/>
        <v>87418.16</v>
      </c>
      <c r="P9" s="451">
        <f t="shared" si="3"/>
        <v>90040.704800000007</v>
      </c>
      <c r="Q9" s="450"/>
      <c r="T9" s="451">
        <f>L9</f>
        <v>80000</v>
      </c>
      <c r="U9" s="445">
        <v>1</v>
      </c>
    </row>
    <row r="10" spans="1:21">
      <c r="A10" s="457" t="s">
        <v>402</v>
      </c>
      <c r="B10" s="505" t="s">
        <v>718</v>
      </c>
      <c r="C10" s="458" t="s">
        <v>549</v>
      </c>
      <c r="D10" s="458" t="s">
        <v>550</v>
      </c>
      <c r="E10" s="459">
        <v>90000</v>
      </c>
      <c r="F10" s="487"/>
      <c r="G10" s="487">
        <f>E10/2</f>
        <v>45000</v>
      </c>
      <c r="H10" s="453">
        <v>90000</v>
      </c>
      <c r="I10" s="487">
        <f>15500/H10</f>
        <v>0.17222222222222222</v>
      </c>
      <c r="J10" s="487"/>
      <c r="K10" s="487"/>
      <c r="L10" s="518">
        <f t="shared" ref="L10:L13" si="4">H10*I10</f>
        <v>15500</v>
      </c>
      <c r="M10" s="451">
        <f>L10*(1+M$4)</f>
        <v>15965</v>
      </c>
      <c r="N10" s="451">
        <f t="shared" ref="N10:P10" si="5">M10*(1+N$4)</f>
        <v>16443.95</v>
      </c>
      <c r="O10" s="451">
        <f t="shared" si="5"/>
        <v>16937.268500000002</v>
      </c>
      <c r="P10" s="451">
        <f t="shared" si="5"/>
        <v>17445.386555000001</v>
      </c>
      <c r="Q10" s="450"/>
      <c r="R10" s="460">
        <f>E10*5.5%</f>
        <v>4950</v>
      </c>
      <c r="T10" s="451">
        <f>L10</f>
        <v>15500</v>
      </c>
    </row>
    <row r="11" spans="1:21" s="468" customFormat="1">
      <c r="A11" s="461" t="s">
        <v>402</v>
      </c>
      <c r="B11" s="506" t="s">
        <v>960</v>
      </c>
      <c r="C11" s="462" t="s">
        <v>961</v>
      </c>
      <c r="D11" s="462" t="s">
        <v>959</v>
      </c>
      <c r="E11" s="463">
        <v>90000</v>
      </c>
      <c r="F11" s="463"/>
      <c r="G11" s="463"/>
      <c r="H11" s="517">
        <v>90000</v>
      </c>
      <c r="I11" s="463">
        <f>9.5/12</f>
        <v>0.79166666666666663</v>
      </c>
      <c r="J11" s="463"/>
      <c r="K11" s="463"/>
      <c r="L11" s="453">
        <f t="shared" si="4"/>
        <v>71250</v>
      </c>
      <c r="M11" s="464"/>
      <c r="N11" s="464"/>
      <c r="O11" s="464"/>
      <c r="P11" s="464"/>
      <c r="Q11" s="466"/>
      <c r="R11" s="467"/>
      <c r="T11" s="464"/>
      <c r="U11" s="468">
        <v>1</v>
      </c>
    </row>
    <row r="12" spans="1:21" hidden="1">
      <c r="A12" s="450" t="s">
        <v>403</v>
      </c>
      <c r="B12" s="504"/>
      <c r="E12" s="451">
        <v>80000</v>
      </c>
      <c r="F12" s="451"/>
      <c r="G12" s="454"/>
      <c r="H12" s="455"/>
      <c r="I12" s="451">
        <v>0</v>
      </c>
      <c r="J12" s="451"/>
      <c r="K12" s="451"/>
      <c r="L12" s="452"/>
      <c r="M12" s="451">
        <f>L12*(1+M$4)</f>
        <v>0</v>
      </c>
      <c r="N12" s="451">
        <f t="shared" ref="N12:P12" si="6">M12*(1+N$4)</f>
        <v>0</v>
      </c>
      <c r="O12" s="451">
        <f t="shared" si="6"/>
        <v>0</v>
      </c>
      <c r="P12" s="451">
        <f t="shared" si="6"/>
        <v>0</v>
      </c>
      <c r="Q12" s="450"/>
      <c r="T12" s="451">
        <f t="shared" ref="T12:T19" si="7">L12</f>
        <v>0</v>
      </c>
    </row>
    <row r="13" spans="1:21">
      <c r="A13" s="450" t="s">
        <v>404</v>
      </c>
      <c r="B13" s="504"/>
      <c r="C13" s="470" t="s">
        <v>265</v>
      </c>
      <c r="D13" s="445" t="s">
        <v>264</v>
      </c>
      <c r="E13" s="451">
        <v>52650</v>
      </c>
      <c r="F13" s="451"/>
      <c r="G13" s="454">
        <f>E13/4</f>
        <v>13162.5</v>
      </c>
      <c r="H13" s="455">
        <v>52650</v>
      </c>
      <c r="I13" s="451">
        <v>1</v>
      </c>
      <c r="J13" s="451"/>
      <c r="K13" s="451">
        <v>1</v>
      </c>
      <c r="L13" s="455">
        <f t="shared" si="4"/>
        <v>52650</v>
      </c>
      <c r="M13" s="451">
        <f>L13*(1+M$4)</f>
        <v>54229.5</v>
      </c>
      <c r="N13" s="451">
        <f t="shared" ref="N13:P13" si="8">M13*(1+N$4)</f>
        <v>55856.385000000002</v>
      </c>
      <c r="O13" s="451">
        <f t="shared" si="8"/>
        <v>57532.076550000005</v>
      </c>
      <c r="P13" s="451">
        <f t="shared" si="8"/>
        <v>59258.038846500007</v>
      </c>
      <c r="Q13" s="450"/>
      <c r="T13" s="451">
        <f t="shared" si="7"/>
        <v>52650</v>
      </c>
      <c r="U13" s="445">
        <v>1</v>
      </c>
    </row>
    <row r="14" spans="1:21" hidden="1">
      <c r="A14" s="450" t="s">
        <v>405</v>
      </c>
      <c r="B14" s="504"/>
      <c r="C14" s="470"/>
      <c r="E14" s="451">
        <v>55000</v>
      </c>
      <c r="F14" s="451"/>
      <c r="G14" s="454"/>
      <c r="H14" s="455"/>
      <c r="I14" s="451"/>
      <c r="J14" s="451"/>
      <c r="K14" s="451"/>
      <c r="L14" s="452"/>
      <c r="M14" s="451">
        <v>55000</v>
      </c>
      <c r="N14" s="451">
        <f t="shared" ref="N14:P14" si="9">M14*(1+N$4)</f>
        <v>56650</v>
      </c>
      <c r="O14" s="451">
        <f t="shared" si="9"/>
        <v>58349.5</v>
      </c>
      <c r="P14" s="451">
        <f t="shared" si="9"/>
        <v>60099.985000000001</v>
      </c>
      <c r="Q14" s="450"/>
      <c r="T14" s="451">
        <f t="shared" si="7"/>
        <v>0</v>
      </c>
    </row>
    <row r="15" spans="1:21" hidden="1">
      <c r="A15" s="450" t="s">
        <v>407</v>
      </c>
      <c r="B15" s="504"/>
      <c r="C15" s="470"/>
      <c r="E15" s="451">
        <v>50000</v>
      </c>
      <c r="F15" s="451"/>
      <c r="G15" s="454"/>
      <c r="H15" s="455"/>
      <c r="I15" s="451"/>
      <c r="J15" s="451"/>
      <c r="K15" s="451"/>
      <c r="L15" s="452"/>
      <c r="M15" s="451">
        <v>50000</v>
      </c>
      <c r="N15" s="451">
        <f t="shared" ref="N15:P15" si="10">M15*(1+N$4)</f>
        <v>51500</v>
      </c>
      <c r="O15" s="451">
        <f t="shared" si="10"/>
        <v>53045</v>
      </c>
      <c r="P15" s="451">
        <f t="shared" si="10"/>
        <v>54636.35</v>
      </c>
      <c r="Q15" s="450"/>
      <c r="T15" s="451">
        <f t="shared" si="7"/>
        <v>0</v>
      </c>
    </row>
    <row r="16" spans="1:21" hidden="1">
      <c r="A16" s="450" t="s">
        <v>406</v>
      </c>
      <c r="B16" s="504"/>
      <c r="C16" s="470"/>
      <c r="E16" s="451">
        <v>42000</v>
      </c>
      <c r="F16" s="451"/>
      <c r="G16" s="454"/>
      <c r="H16" s="455"/>
      <c r="I16" s="451"/>
      <c r="J16" s="451"/>
      <c r="K16" s="451"/>
      <c r="L16" s="452"/>
      <c r="M16" s="451">
        <v>42000</v>
      </c>
      <c r="N16" s="451">
        <f t="shared" ref="N16:P16" si="11">M16*(1+N$4)</f>
        <v>43260</v>
      </c>
      <c r="O16" s="451">
        <f t="shared" si="11"/>
        <v>44557.8</v>
      </c>
      <c r="P16" s="451">
        <f t="shared" si="11"/>
        <v>45894.534000000007</v>
      </c>
      <c r="Q16" s="450"/>
      <c r="T16" s="451">
        <f t="shared" si="7"/>
        <v>0</v>
      </c>
    </row>
    <row r="17" spans="1:21">
      <c r="A17" s="469" t="s">
        <v>712</v>
      </c>
      <c r="B17" s="507" t="s">
        <v>711</v>
      </c>
      <c r="C17" s="470" t="s">
        <v>502</v>
      </c>
      <c r="D17" s="470" t="s">
        <v>503</v>
      </c>
      <c r="E17" s="454">
        <v>80000</v>
      </c>
      <c r="F17" s="454" t="s">
        <v>494</v>
      </c>
      <c r="H17" s="456">
        <v>80000</v>
      </c>
      <c r="I17" s="454">
        <v>1</v>
      </c>
      <c r="J17" s="454"/>
      <c r="K17" s="454">
        <v>1</v>
      </c>
      <c r="L17" s="455">
        <f t="shared" ref="L17:L20" si="12">H17*I17</f>
        <v>80000</v>
      </c>
      <c r="M17" s="451">
        <f t="shared" ref="M17:P19" si="13">L17*(1+M$4)</f>
        <v>82400</v>
      </c>
      <c r="N17" s="451">
        <f t="shared" si="13"/>
        <v>84872</v>
      </c>
      <c r="O17" s="451">
        <f t="shared" si="13"/>
        <v>87418.16</v>
      </c>
      <c r="P17" s="451">
        <f t="shared" si="13"/>
        <v>90040.704800000007</v>
      </c>
      <c r="Q17" s="450"/>
      <c r="T17" s="451">
        <f t="shared" si="7"/>
        <v>80000</v>
      </c>
      <c r="U17" s="445">
        <v>1</v>
      </c>
    </row>
    <row r="18" spans="1:21">
      <c r="A18" s="469" t="s">
        <v>712</v>
      </c>
      <c r="B18" s="507" t="s">
        <v>711</v>
      </c>
      <c r="C18" s="470" t="s">
        <v>551</v>
      </c>
      <c r="D18" s="470" t="s">
        <v>552</v>
      </c>
      <c r="E18" s="454">
        <v>85000</v>
      </c>
      <c r="F18" s="451" t="s">
        <v>494</v>
      </c>
      <c r="H18" s="456">
        <v>85000</v>
      </c>
      <c r="I18" s="454">
        <v>1</v>
      </c>
      <c r="J18" s="454"/>
      <c r="K18" s="454">
        <v>1</v>
      </c>
      <c r="L18" s="455">
        <f t="shared" si="12"/>
        <v>85000</v>
      </c>
      <c r="M18" s="451">
        <f t="shared" si="13"/>
        <v>87550</v>
      </c>
      <c r="N18" s="451">
        <f t="shared" si="13"/>
        <v>90176.5</v>
      </c>
      <c r="O18" s="451">
        <f t="shared" si="13"/>
        <v>92881.794999999998</v>
      </c>
      <c r="P18" s="451">
        <f t="shared" si="13"/>
        <v>95668.248850000004</v>
      </c>
      <c r="Q18" s="450"/>
      <c r="T18" s="451">
        <f t="shared" si="7"/>
        <v>85000</v>
      </c>
      <c r="U18" s="445">
        <v>1</v>
      </c>
    </row>
    <row r="19" spans="1:21">
      <c r="A19" s="469" t="s">
        <v>712</v>
      </c>
      <c r="B19" s="507" t="s">
        <v>711</v>
      </c>
      <c r="C19" s="470" t="s">
        <v>548</v>
      </c>
      <c r="D19" s="470" t="s">
        <v>547</v>
      </c>
      <c r="E19" s="454">
        <v>74000</v>
      </c>
      <c r="F19" s="451"/>
      <c r="H19" s="456">
        <v>74000</v>
      </c>
      <c r="I19" s="454">
        <v>1</v>
      </c>
      <c r="J19" s="454"/>
      <c r="K19" s="454">
        <v>1</v>
      </c>
      <c r="L19" s="455">
        <f t="shared" si="12"/>
        <v>74000</v>
      </c>
      <c r="M19" s="451">
        <f t="shared" si="13"/>
        <v>76220</v>
      </c>
      <c r="N19" s="451">
        <f t="shared" si="13"/>
        <v>78506.600000000006</v>
      </c>
      <c r="O19" s="451">
        <f t="shared" si="13"/>
        <v>80861.79800000001</v>
      </c>
      <c r="P19" s="451">
        <f t="shared" si="13"/>
        <v>83287.651940000011</v>
      </c>
      <c r="Q19" s="450"/>
      <c r="T19" s="451">
        <f t="shared" si="7"/>
        <v>74000</v>
      </c>
      <c r="U19" s="445">
        <v>1</v>
      </c>
    </row>
    <row r="20" spans="1:21" s="468" customFormat="1">
      <c r="A20" s="461" t="s">
        <v>712</v>
      </c>
      <c r="B20" s="516" t="s">
        <v>709</v>
      </c>
      <c r="C20" s="462"/>
      <c r="D20" s="462"/>
      <c r="E20" s="463">
        <v>75000</v>
      </c>
      <c r="F20" s="463"/>
      <c r="G20" s="462"/>
      <c r="H20" s="517">
        <v>75000</v>
      </c>
      <c r="I20" s="463">
        <f>8/12</f>
        <v>0.66666666666666663</v>
      </c>
      <c r="J20" s="463"/>
      <c r="K20" s="463"/>
      <c r="L20" s="517">
        <f t="shared" si="12"/>
        <v>50000</v>
      </c>
      <c r="M20" s="464"/>
      <c r="N20" s="464"/>
      <c r="O20" s="464"/>
      <c r="P20" s="464"/>
      <c r="Q20" s="466"/>
      <c r="T20" s="464"/>
      <c r="U20" s="468">
        <v>1</v>
      </c>
    </row>
    <row r="21" spans="1:21" hidden="1">
      <c r="A21" s="457" t="s">
        <v>410</v>
      </c>
      <c r="B21" s="508" t="s">
        <v>710</v>
      </c>
      <c r="C21" s="471" t="s">
        <v>546</v>
      </c>
      <c r="D21" s="471" t="s">
        <v>545</v>
      </c>
      <c r="E21" s="474">
        <v>81000</v>
      </c>
      <c r="F21" s="474"/>
      <c r="G21" s="472"/>
      <c r="H21" s="473"/>
      <c r="I21" s="472"/>
      <c r="J21" s="472"/>
      <c r="K21" s="472"/>
      <c r="L21" s="473">
        <f>E21*I21</f>
        <v>0</v>
      </c>
      <c r="M21" s="474">
        <f>L21*(1+M$4)</f>
        <v>0</v>
      </c>
      <c r="N21" s="474">
        <f t="shared" ref="N21:P21" si="14">M21*(1+N$4)</f>
        <v>0</v>
      </c>
      <c r="O21" s="474">
        <f t="shared" si="14"/>
        <v>0</v>
      </c>
      <c r="P21" s="474">
        <f t="shared" si="14"/>
        <v>0</v>
      </c>
      <c r="Q21" s="475"/>
      <c r="R21" s="476"/>
      <c r="S21" s="476"/>
      <c r="T21" s="474">
        <f>L21</f>
        <v>0</v>
      </c>
    </row>
    <row r="22" spans="1:21" hidden="1">
      <c r="A22" s="457" t="s">
        <v>410</v>
      </c>
      <c r="B22" s="508"/>
      <c r="C22" s="471" t="s">
        <v>486</v>
      </c>
      <c r="D22" s="471" t="s">
        <v>487</v>
      </c>
      <c r="E22" s="472">
        <v>70000</v>
      </c>
      <c r="F22" s="472"/>
      <c r="G22" s="472"/>
      <c r="H22" s="473"/>
      <c r="I22" s="472"/>
      <c r="J22" s="472"/>
      <c r="K22" s="472"/>
      <c r="L22" s="473">
        <f>E22*I22</f>
        <v>0</v>
      </c>
      <c r="M22" s="474">
        <f>L22*(1+M$4)</f>
        <v>0</v>
      </c>
      <c r="N22" s="474">
        <f t="shared" ref="N22:P22" si="15">M22*(1+N$4)</f>
        <v>0</v>
      </c>
      <c r="O22" s="474">
        <f t="shared" si="15"/>
        <v>0</v>
      </c>
      <c r="P22" s="474">
        <f t="shared" si="15"/>
        <v>0</v>
      </c>
      <c r="Q22" s="475"/>
      <c r="R22" s="476"/>
      <c r="S22" s="476"/>
      <c r="T22" s="474">
        <f>L22</f>
        <v>0</v>
      </c>
    </row>
    <row r="23" spans="1:21">
      <c r="A23" s="457" t="s">
        <v>712</v>
      </c>
      <c r="B23" s="508" t="s">
        <v>715</v>
      </c>
      <c r="C23" s="458" t="s">
        <v>504</v>
      </c>
      <c r="D23" s="458" t="s">
        <v>544</v>
      </c>
      <c r="E23" s="459">
        <v>80000</v>
      </c>
      <c r="F23" s="459" t="s">
        <v>494</v>
      </c>
      <c r="G23" s="458"/>
      <c r="H23" s="518">
        <v>80000</v>
      </c>
      <c r="I23" s="459">
        <f>3333.33/H23</f>
        <v>4.1666624999999999E-2</v>
      </c>
      <c r="J23" s="459"/>
      <c r="K23" s="459">
        <v>1</v>
      </c>
      <c r="L23" s="518">
        <f t="shared" ref="L23" si="16">H23*I23</f>
        <v>3333.33</v>
      </c>
      <c r="M23" s="474">
        <f>L23*(1+M$4)</f>
        <v>3433.3299000000002</v>
      </c>
      <c r="N23" s="474">
        <f t="shared" ref="N23:P23" si="17">M23*(1+N$4)</f>
        <v>3536.3297970000003</v>
      </c>
      <c r="O23" s="474">
        <f t="shared" si="17"/>
        <v>3642.4196909100006</v>
      </c>
      <c r="P23" s="474">
        <f t="shared" si="17"/>
        <v>3751.6922816373008</v>
      </c>
      <c r="Q23" s="475"/>
      <c r="R23" s="476"/>
      <c r="S23" s="476"/>
      <c r="T23" s="474">
        <f>L23</f>
        <v>3333.33</v>
      </c>
    </row>
    <row r="24" spans="1:21">
      <c r="A24" s="450" t="s">
        <v>713</v>
      </c>
      <c r="B24" s="507" t="s">
        <v>711</v>
      </c>
      <c r="C24" s="470" t="s">
        <v>698</v>
      </c>
      <c r="D24" s="445" t="s">
        <v>699</v>
      </c>
      <c r="E24" s="474">
        <v>68000</v>
      </c>
      <c r="H24" s="456">
        <v>68000</v>
      </c>
      <c r="I24" s="465">
        <v>1</v>
      </c>
      <c r="J24" s="464"/>
      <c r="K24" s="464"/>
      <c r="L24" s="455">
        <f t="shared" ref="L24:L27" si="18">H24*I24</f>
        <v>68000</v>
      </c>
      <c r="U24" s="445">
        <v>1</v>
      </c>
    </row>
    <row r="25" spans="1:21">
      <c r="A25" s="450" t="s">
        <v>713</v>
      </c>
      <c r="B25" s="445" t="s">
        <v>714</v>
      </c>
      <c r="C25" s="477" t="s">
        <v>553</v>
      </c>
      <c r="D25" s="477" t="s">
        <v>554</v>
      </c>
      <c r="E25" s="451">
        <v>61000</v>
      </c>
      <c r="F25" s="451"/>
      <c r="H25" s="456">
        <v>61000</v>
      </c>
      <c r="I25" s="454">
        <v>1</v>
      </c>
      <c r="J25" s="454"/>
      <c r="K25" s="454">
        <v>1</v>
      </c>
      <c r="L25" s="455">
        <f t="shared" si="18"/>
        <v>61000</v>
      </c>
      <c r="M25" s="451">
        <f>L25*(1+M$4)</f>
        <v>62830</v>
      </c>
      <c r="N25" s="451">
        <f>M25*(1+N$4)</f>
        <v>64714.9</v>
      </c>
      <c r="O25" s="451">
        <f>N25*(1+O$4)</f>
        <v>66656.347000000009</v>
      </c>
      <c r="P25" s="451">
        <f>O25*(1+P$4)</f>
        <v>68656.037410000004</v>
      </c>
      <c r="Q25" s="450"/>
      <c r="T25" s="451">
        <f t="shared" ref="T25:T34" si="19">L25</f>
        <v>61000</v>
      </c>
      <c r="U25" s="445">
        <v>1</v>
      </c>
    </row>
    <row r="26" spans="1:21">
      <c r="A26" s="450" t="s">
        <v>713</v>
      </c>
      <c r="B26" s="507" t="s">
        <v>711</v>
      </c>
      <c r="C26" s="477" t="s">
        <v>633</v>
      </c>
      <c r="D26" s="477" t="s">
        <v>634</v>
      </c>
      <c r="E26" s="451">
        <v>61000</v>
      </c>
      <c r="F26" s="451"/>
      <c r="H26" s="456">
        <v>61000</v>
      </c>
      <c r="I26" s="454">
        <v>1</v>
      </c>
      <c r="J26" s="454"/>
      <c r="K26" s="454">
        <v>1</v>
      </c>
      <c r="L26" s="455">
        <f t="shared" si="18"/>
        <v>61000</v>
      </c>
      <c r="M26" s="451">
        <f>L26*(1+M$4)</f>
        <v>62830</v>
      </c>
      <c r="N26" s="451">
        <f t="shared" ref="N26:P26" si="20">M26*(1+N$4)</f>
        <v>64714.9</v>
      </c>
      <c r="O26" s="451">
        <f t="shared" si="20"/>
        <v>66656.347000000009</v>
      </c>
      <c r="P26" s="451">
        <f t="shared" si="20"/>
        <v>68656.037410000004</v>
      </c>
      <c r="Q26" s="450"/>
      <c r="T26" s="451">
        <f t="shared" si="19"/>
        <v>61000</v>
      </c>
      <c r="U26" s="445">
        <v>1</v>
      </c>
    </row>
    <row r="27" spans="1:21">
      <c r="A27" s="450" t="s">
        <v>713</v>
      </c>
      <c r="B27" s="507" t="s">
        <v>711</v>
      </c>
      <c r="C27" s="477" t="s">
        <v>555</v>
      </c>
      <c r="D27" s="477" t="s">
        <v>623</v>
      </c>
      <c r="E27" s="451">
        <v>61000</v>
      </c>
      <c r="F27" s="451"/>
      <c r="H27" s="456">
        <v>61000</v>
      </c>
      <c r="I27" s="454">
        <v>1</v>
      </c>
      <c r="J27" s="454"/>
      <c r="K27" s="454">
        <v>1</v>
      </c>
      <c r="L27" s="455">
        <f t="shared" si="18"/>
        <v>61000</v>
      </c>
      <c r="M27" s="451">
        <f>L27*(1+M$4)</f>
        <v>62830</v>
      </c>
      <c r="N27" s="451">
        <f t="shared" ref="N27:P30" si="21">M27*(1+N$4)</f>
        <v>64714.9</v>
      </c>
      <c r="O27" s="451">
        <f t="shared" si="21"/>
        <v>66656.347000000009</v>
      </c>
      <c r="P27" s="451">
        <f t="shared" si="21"/>
        <v>68656.037410000004</v>
      </c>
      <c r="Q27" s="450"/>
      <c r="T27" s="451">
        <f t="shared" si="19"/>
        <v>61000</v>
      </c>
      <c r="U27" s="445">
        <v>1</v>
      </c>
    </row>
    <row r="28" spans="1:21" hidden="1">
      <c r="A28" s="478" t="s">
        <v>410</v>
      </c>
      <c r="B28" s="509"/>
      <c r="C28" s="479"/>
      <c r="D28" s="479"/>
      <c r="E28" s="480">
        <v>68000</v>
      </c>
      <c r="F28" s="480"/>
      <c r="G28" s="479"/>
      <c r="H28" s="481"/>
      <c r="I28" s="480"/>
      <c r="J28" s="480"/>
      <c r="K28" s="480"/>
      <c r="L28" s="482"/>
      <c r="M28" s="480">
        <f>E28*I28</f>
        <v>0</v>
      </c>
      <c r="N28" s="480">
        <f t="shared" si="21"/>
        <v>0</v>
      </c>
      <c r="O28" s="480">
        <f t="shared" si="21"/>
        <v>0</v>
      </c>
      <c r="P28" s="480">
        <f t="shared" si="21"/>
        <v>0</v>
      </c>
      <c r="Q28" s="450"/>
      <c r="T28" s="451">
        <f t="shared" si="19"/>
        <v>0</v>
      </c>
    </row>
    <row r="29" spans="1:21" hidden="1">
      <c r="A29" s="478" t="s">
        <v>410</v>
      </c>
      <c r="B29" s="509"/>
      <c r="C29" s="479"/>
      <c r="D29" s="479"/>
      <c r="E29" s="480">
        <v>68000</v>
      </c>
      <c r="F29" s="480"/>
      <c r="G29" s="479"/>
      <c r="H29" s="481"/>
      <c r="I29" s="480"/>
      <c r="J29" s="480"/>
      <c r="K29" s="480"/>
      <c r="L29" s="482"/>
      <c r="M29" s="480"/>
      <c r="N29" s="480">
        <f>E29*I29</f>
        <v>0</v>
      </c>
      <c r="O29" s="480">
        <f t="shared" si="21"/>
        <v>0</v>
      </c>
      <c r="P29" s="480">
        <f t="shared" si="21"/>
        <v>0</v>
      </c>
      <c r="Q29" s="450"/>
      <c r="T29" s="451">
        <f t="shared" si="19"/>
        <v>0</v>
      </c>
    </row>
    <row r="30" spans="1:21" hidden="1">
      <c r="A30" s="478" t="s">
        <v>410</v>
      </c>
      <c r="B30" s="509"/>
      <c r="C30" s="479"/>
      <c r="D30" s="479"/>
      <c r="E30" s="480">
        <v>68000</v>
      </c>
      <c r="F30" s="480"/>
      <c r="G30" s="479"/>
      <c r="H30" s="481"/>
      <c r="I30" s="480"/>
      <c r="J30" s="480"/>
      <c r="K30" s="480"/>
      <c r="L30" s="482"/>
      <c r="M30" s="480"/>
      <c r="N30" s="480"/>
      <c r="O30" s="480">
        <f>E30*I30</f>
        <v>0</v>
      </c>
      <c r="P30" s="480">
        <f t="shared" si="21"/>
        <v>0</v>
      </c>
      <c r="Q30" s="450"/>
      <c r="T30" s="451">
        <f t="shared" si="19"/>
        <v>0</v>
      </c>
    </row>
    <row r="31" spans="1:21" hidden="1">
      <c r="A31" s="478" t="s">
        <v>410</v>
      </c>
      <c r="B31" s="509"/>
      <c r="C31" s="479"/>
      <c r="D31" s="479"/>
      <c r="E31" s="480">
        <v>68000</v>
      </c>
      <c r="F31" s="480"/>
      <c r="G31" s="479"/>
      <c r="H31" s="481"/>
      <c r="I31" s="480"/>
      <c r="J31" s="480"/>
      <c r="K31" s="480"/>
      <c r="L31" s="482"/>
      <c r="M31" s="480"/>
      <c r="N31" s="480"/>
      <c r="O31" s="480"/>
      <c r="P31" s="480">
        <f>E31*I31</f>
        <v>0</v>
      </c>
      <c r="Q31" s="450"/>
      <c r="T31" s="451">
        <f t="shared" si="19"/>
        <v>0</v>
      </c>
    </row>
    <row r="32" spans="1:21" hidden="1">
      <c r="A32" s="450" t="s">
        <v>411</v>
      </c>
      <c r="B32" s="504"/>
      <c r="E32" s="451">
        <v>67000</v>
      </c>
      <c r="F32" s="451"/>
      <c r="H32" s="456"/>
      <c r="I32" s="454"/>
      <c r="J32" s="454"/>
      <c r="K32" s="454"/>
      <c r="L32" s="455"/>
      <c r="M32" s="451">
        <v>67000</v>
      </c>
      <c r="N32" s="451">
        <f t="shared" ref="N32:P32" si="22">M32*(1+N$4)</f>
        <v>69010</v>
      </c>
      <c r="O32" s="451">
        <f t="shared" si="22"/>
        <v>71080.3</v>
      </c>
      <c r="P32" s="451">
        <f t="shared" si="22"/>
        <v>73212.709000000003</v>
      </c>
      <c r="Q32" s="450"/>
      <c r="T32" s="451">
        <f t="shared" si="19"/>
        <v>0</v>
      </c>
    </row>
    <row r="33" spans="1:23">
      <c r="A33" s="483" t="s">
        <v>418</v>
      </c>
      <c r="B33" s="510" t="s">
        <v>702</v>
      </c>
      <c r="C33" s="445" t="s">
        <v>701</v>
      </c>
      <c r="D33" s="445" t="s">
        <v>700</v>
      </c>
      <c r="E33" s="451">
        <v>55000</v>
      </c>
      <c r="F33" s="451"/>
      <c r="H33" s="456">
        <v>33000</v>
      </c>
      <c r="I33" s="454">
        <v>0.5</v>
      </c>
      <c r="J33" s="454"/>
      <c r="K33" s="454">
        <v>1</v>
      </c>
      <c r="L33" s="455">
        <v>33000</v>
      </c>
      <c r="M33" s="451">
        <f>L33*(1+M$4)</f>
        <v>33990</v>
      </c>
      <c r="N33" s="451">
        <f t="shared" ref="N33:P33" si="23">M33*(1+N$4)</f>
        <v>35009.700000000004</v>
      </c>
      <c r="O33" s="451">
        <f t="shared" si="23"/>
        <v>36059.991000000002</v>
      </c>
      <c r="P33" s="451">
        <f t="shared" si="23"/>
        <v>37141.790730000001</v>
      </c>
      <c r="Q33" s="450"/>
      <c r="T33" s="451">
        <f t="shared" si="19"/>
        <v>33000</v>
      </c>
      <c r="U33" s="445">
        <v>0.5</v>
      </c>
    </row>
    <row r="34" spans="1:23">
      <c r="A34" s="484" t="s">
        <v>418</v>
      </c>
      <c r="B34" s="511" t="s">
        <v>702</v>
      </c>
      <c r="C34" s="470" t="s">
        <v>704</v>
      </c>
      <c r="D34" s="470" t="s">
        <v>703</v>
      </c>
      <c r="E34" s="454">
        <v>55000</v>
      </c>
      <c r="F34" s="451"/>
      <c r="H34" s="456">
        <v>27500</v>
      </c>
      <c r="I34" s="454">
        <v>0.75</v>
      </c>
      <c r="J34" s="454"/>
      <c r="K34" s="454">
        <v>1</v>
      </c>
      <c r="L34" s="455">
        <v>27500</v>
      </c>
      <c r="M34" s="451">
        <f>L34*(1+M$4)</f>
        <v>28325</v>
      </c>
      <c r="N34" s="451">
        <f t="shared" ref="N34:P34" si="24">M34*(1+N$4)</f>
        <v>29174.75</v>
      </c>
      <c r="O34" s="451">
        <f t="shared" si="24"/>
        <v>30049.9925</v>
      </c>
      <c r="P34" s="451">
        <f t="shared" si="24"/>
        <v>30951.492275000001</v>
      </c>
      <c r="Q34" s="450"/>
      <c r="T34" s="451">
        <f t="shared" si="19"/>
        <v>27500</v>
      </c>
      <c r="U34" s="445">
        <v>0.5</v>
      </c>
    </row>
    <row r="35" spans="1:23">
      <c r="A35" s="485" t="s">
        <v>412</v>
      </c>
      <c r="B35" s="486" t="s">
        <v>716</v>
      </c>
      <c r="C35" s="486"/>
      <c r="D35" s="486"/>
      <c r="E35" s="487">
        <v>58500</v>
      </c>
      <c r="F35" s="486"/>
      <c r="G35" s="486"/>
      <c r="H35" s="488">
        <v>58500</v>
      </c>
      <c r="I35" s="489">
        <f>8/12</f>
        <v>0.66666666666666663</v>
      </c>
      <c r="J35" s="489"/>
      <c r="K35" s="489"/>
      <c r="L35" s="488">
        <f t="shared" ref="L35" si="25">H35*I35</f>
        <v>39000</v>
      </c>
      <c r="M35" s="486"/>
      <c r="N35" s="486"/>
      <c r="O35" s="486"/>
      <c r="P35" s="486"/>
      <c r="Q35" s="486"/>
      <c r="R35" s="486"/>
      <c r="S35" s="486"/>
      <c r="T35" s="486"/>
      <c r="U35" s="445">
        <v>0.5</v>
      </c>
      <c r="W35" s="445">
        <v>588000</v>
      </c>
    </row>
    <row r="36" spans="1:23">
      <c r="A36" s="469" t="s">
        <v>413</v>
      </c>
      <c r="B36" s="507"/>
      <c r="C36" s="470" t="s">
        <v>705</v>
      </c>
      <c r="D36" s="470" t="s">
        <v>706</v>
      </c>
      <c r="E36" s="454">
        <v>60000</v>
      </c>
      <c r="F36" s="451"/>
      <c r="H36" s="456">
        <v>58500</v>
      </c>
      <c r="I36" s="454">
        <v>1</v>
      </c>
      <c r="J36" s="454"/>
      <c r="K36" s="454">
        <v>1</v>
      </c>
      <c r="L36" s="455">
        <f t="shared" ref="L36" si="26">H36*I36</f>
        <v>58500</v>
      </c>
      <c r="M36" s="451">
        <f>E36*(1+M$4)</f>
        <v>61800</v>
      </c>
      <c r="N36" s="451">
        <f t="shared" ref="N36:P36" si="27">M36*(1+N$4)</f>
        <v>63654</v>
      </c>
      <c r="O36" s="451">
        <f t="shared" si="27"/>
        <v>65563.62</v>
      </c>
      <c r="P36" s="451">
        <f t="shared" si="27"/>
        <v>67530.528599999991</v>
      </c>
      <c r="Q36" s="450"/>
      <c r="T36" s="451">
        <f>L36</f>
        <v>58500</v>
      </c>
      <c r="U36" s="445">
        <v>1</v>
      </c>
      <c r="W36" s="445">
        <v>289000</v>
      </c>
    </row>
    <row r="37" spans="1:23">
      <c r="A37" s="485" t="s">
        <v>840</v>
      </c>
      <c r="B37" s="619" t="s">
        <v>839</v>
      </c>
      <c r="C37" s="486"/>
      <c r="D37" s="486"/>
      <c r="E37" s="487"/>
      <c r="F37" s="487"/>
      <c r="G37" s="486"/>
      <c r="H37" s="488">
        <f>5500*3</f>
        <v>16500</v>
      </c>
      <c r="I37" s="487"/>
      <c r="J37" s="487"/>
      <c r="K37" s="487"/>
      <c r="L37" s="453">
        <f>H37</f>
        <v>16500</v>
      </c>
      <c r="M37" s="451"/>
      <c r="N37" s="451"/>
      <c r="O37" s="451"/>
      <c r="P37" s="451"/>
      <c r="Q37" s="450"/>
      <c r="T37" s="451"/>
      <c r="W37" s="445">
        <f>W35-W36</f>
        <v>299000</v>
      </c>
    </row>
    <row r="38" spans="1:23" hidden="1">
      <c r="A38" s="490" t="s">
        <v>485</v>
      </c>
      <c r="B38" s="512" t="s">
        <v>707</v>
      </c>
      <c r="C38" s="471"/>
      <c r="D38" s="471"/>
      <c r="E38" s="472">
        <v>58000</v>
      </c>
      <c r="F38" s="491"/>
      <c r="H38" s="456"/>
      <c r="I38" s="454"/>
      <c r="J38" s="454"/>
      <c r="K38" s="454"/>
      <c r="L38" s="455"/>
      <c r="M38" s="451">
        <f>L38*(1+M$4)</f>
        <v>0</v>
      </c>
      <c r="N38" s="451">
        <f t="shared" ref="N38:P38" si="28">M38*(1+N$4)</f>
        <v>0</v>
      </c>
      <c r="O38" s="451">
        <f t="shared" si="28"/>
        <v>0</v>
      </c>
      <c r="P38" s="451">
        <f t="shared" si="28"/>
        <v>0</v>
      </c>
      <c r="Q38" s="450"/>
      <c r="T38" s="451">
        <f>L38</f>
        <v>0</v>
      </c>
    </row>
    <row r="39" spans="1:23" hidden="1">
      <c r="A39" s="475" t="s">
        <v>416</v>
      </c>
      <c r="B39" s="513" t="s">
        <v>708</v>
      </c>
      <c r="C39" s="476"/>
      <c r="D39" s="476"/>
      <c r="E39" s="474">
        <f>15*4*'School Food'!B5</f>
        <v>12720</v>
      </c>
      <c r="F39" s="451"/>
      <c r="H39" s="456"/>
      <c r="I39" s="454"/>
      <c r="J39" s="454"/>
      <c r="K39" s="454"/>
      <c r="L39" s="455"/>
      <c r="M39" s="451">
        <f>L39*(1+M$4)</f>
        <v>0</v>
      </c>
      <c r="N39" s="451">
        <f t="shared" ref="N39:P39" si="29">M39*(1+N$4)</f>
        <v>0</v>
      </c>
      <c r="O39" s="451">
        <f t="shared" si="29"/>
        <v>0</v>
      </c>
      <c r="P39" s="451">
        <f t="shared" si="29"/>
        <v>0</v>
      </c>
      <c r="T39" s="492"/>
    </row>
    <row r="40" spans="1:23">
      <c r="A40" s="493"/>
      <c r="B40" s="514"/>
      <c r="E40" s="451"/>
      <c r="F40" s="451"/>
      <c r="H40" s="456"/>
      <c r="I40" s="454"/>
      <c r="J40" s="454"/>
      <c r="K40" s="454"/>
      <c r="L40" s="494">
        <f>SUM(L6:L39)</f>
        <v>1071133.33</v>
      </c>
      <c r="M40" s="495">
        <f t="shared" ref="M40:P40" si="30">SUM(M6:M39)</f>
        <v>1066719.8299</v>
      </c>
      <c r="N40" s="495">
        <f t="shared" si="30"/>
        <v>1098721.4247969999</v>
      </c>
      <c r="O40" s="495">
        <f t="shared" si="30"/>
        <v>1131683.0675409106</v>
      </c>
      <c r="P40" s="495">
        <f t="shared" si="30"/>
        <v>1165633.5595671374</v>
      </c>
      <c r="T40" s="495">
        <f>SUM(T6:T39)</f>
        <v>826383.33</v>
      </c>
    </row>
    <row r="41" spans="1:23">
      <c r="A41" s="496" t="s">
        <v>180</v>
      </c>
      <c r="B41" s="515"/>
      <c r="C41" s="497"/>
      <c r="D41" s="497"/>
      <c r="E41" s="498">
        <f>SUM(E6:E39)</f>
        <v>2183870</v>
      </c>
      <c r="F41" s="498"/>
      <c r="G41" s="497"/>
      <c r="H41" s="499"/>
      <c r="I41" s="500">
        <f>COUNT(I6:I39)</f>
        <v>19</v>
      </c>
      <c r="J41" s="500">
        <f>COUNT(J6:J39)</f>
        <v>0</v>
      </c>
      <c r="K41" s="500">
        <f>COUNT(K6:K39)</f>
        <v>13</v>
      </c>
      <c r="L41" s="501">
        <f>COUNT(L6:L39)</f>
        <v>21</v>
      </c>
      <c r="M41" s="501">
        <f>COUNT(M6:M39)+3</f>
        <v>29</v>
      </c>
      <c r="N41" s="501">
        <f>COUNT(N6:N39)+6</f>
        <v>33</v>
      </c>
      <c r="O41" s="501">
        <f>COUNT(O6:O39)+9</f>
        <v>37</v>
      </c>
      <c r="P41" s="501">
        <f>COUNT(P6:P39)+12</f>
        <v>41</v>
      </c>
      <c r="T41" s="501">
        <f>COUNT(T6:T39)</f>
        <v>28</v>
      </c>
      <c r="U41" s="494">
        <f>SUM(U6:U39)</f>
        <v>14.5</v>
      </c>
    </row>
    <row r="42" spans="1:23">
      <c r="H42" s="502"/>
    </row>
    <row r="43" spans="1:23">
      <c r="H43" s="502"/>
      <c r="L43" s="519"/>
      <c r="T43" s="460"/>
    </row>
    <row r="44" spans="1:23">
      <c r="H44" s="502"/>
    </row>
    <row r="45" spans="1:23">
      <c r="H45" s="502"/>
      <c r="L45" s="503"/>
      <c r="T45" s="503"/>
    </row>
    <row r="46" spans="1:23">
      <c r="H46" s="502"/>
    </row>
    <row r="47" spans="1:23">
      <c r="H47" s="502"/>
    </row>
    <row r="48" spans="1:23">
      <c r="H48" s="502"/>
    </row>
  </sheetData>
  <mergeCells count="1">
    <mergeCell ref="J4:K4"/>
  </mergeCells>
  <pageMargins left="0.25" right="0.25" top="0.75" bottom="0.75" header="0.3" footer="0.3"/>
  <pageSetup paperSize="5" scale="86" orientation="landscape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E7E229F89B5246928065F7FCC915EE" ma:contentTypeVersion="7" ma:contentTypeDescription="Create a new document." ma:contentTypeScope="" ma:versionID="62999dce3ad979132c93a13aa0375d14">
  <xsd:schema xmlns:xsd="http://www.w3.org/2001/XMLSchema" xmlns:xs="http://www.w3.org/2001/XMLSchema" xmlns:p="http://schemas.microsoft.com/office/2006/metadata/properties" xmlns:ns3="63684c7c-b00e-4ab9-9b6d-7df1dbab5ea4" targetNamespace="http://schemas.microsoft.com/office/2006/metadata/properties" ma:root="true" ma:fieldsID="1870f9145426985d4c8513101a84d26e" ns3:_="">
    <xsd:import namespace="63684c7c-b00e-4ab9-9b6d-7df1dbab5e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84c7c-b00e-4ab9-9b6d-7df1dbab5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681270-B9A1-46EA-A9FA-1041C680F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684c7c-b00e-4ab9-9b6d-7df1dbab5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90D961-A4A5-4DC3-B2C1-ABDE9DA817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748AD8-D88E-4631-922D-9A71E3C27C3F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63684c7c-b00e-4ab9-9b6d-7df1dbab5ea4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</vt:i4>
      </vt:variant>
    </vt:vector>
  </HeadingPairs>
  <TitlesOfParts>
    <vt:vector size="25" baseType="lpstr">
      <vt:lpstr>Summary</vt:lpstr>
      <vt:lpstr>Budget Detail</vt:lpstr>
      <vt:lpstr>Cashflow</vt:lpstr>
      <vt:lpstr>Sept YTD</vt:lpstr>
      <vt:lpstr>Balance Sheet</vt:lpstr>
      <vt:lpstr>Support==&gt;</vt:lpstr>
      <vt:lpstr>CSP</vt:lpstr>
      <vt:lpstr>Enrollment</vt:lpstr>
      <vt:lpstr>Staffing Detail</vt:lpstr>
      <vt:lpstr>Relay</vt:lpstr>
      <vt:lpstr>School Food</vt:lpstr>
      <vt:lpstr>Benefits (Little Bird)</vt:lpstr>
      <vt:lpstr>Little Bird</vt:lpstr>
      <vt:lpstr>Deferred Rent</vt:lpstr>
      <vt:lpstr>Furniture</vt:lpstr>
      <vt:lpstr>Furniture Y2</vt:lpstr>
      <vt:lpstr>Equipment</vt:lpstr>
      <vt:lpstr>Nurse</vt:lpstr>
      <vt:lpstr>Cash Flow</vt:lpstr>
      <vt:lpstr>Sheet2</vt:lpstr>
      <vt:lpstr>'Budget Detail'!Print_Area</vt:lpstr>
      <vt:lpstr>'Little Bird'!Print_Area</vt:lpstr>
      <vt:lpstr>'Sept YTD'!Print_Area</vt:lpstr>
      <vt:lpstr>Summary!Print_Area</vt:lpstr>
      <vt:lpstr>'Benefits (Little Bird)'!Print_Titles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Hon. Marsha Michael</cp:lastModifiedBy>
  <cp:lastPrinted>2019-10-23T12:03:54Z</cp:lastPrinted>
  <dcterms:created xsi:type="dcterms:W3CDTF">2018-11-06T20:14:02Z</dcterms:created>
  <dcterms:modified xsi:type="dcterms:W3CDTF">2020-05-06T19:25:00Z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0x010100F2E7E229F89B5246928065F7FCC915EE</vt:lpwstr>
  </property>
</Properties>
</file>